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iba\Documents\Projet Professionnel\Suivis\Odyssée 12semaines\"/>
    </mc:Choice>
  </mc:AlternateContent>
  <bookViews>
    <workbookView xWindow="0" yWindow="0" windowWidth="28800" windowHeight="11430" activeTab="1"/>
  </bookViews>
  <sheets>
    <sheet name="Informations" sheetId="5" r:id="rId1"/>
    <sheet name="Profil" sheetId="6" r:id="rId2"/>
    <sheet name="Block d'introduction" sheetId="7" r:id="rId3"/>
    <sheet name="Block 1" sheetId="2" r:id="rId4"/>
    <sheet name="Block 2" sheetId="8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8" l="1"/>
  <c r="F27" i="8"/>
  <c r="XFD38" i="6" l="1"/>
  <c r="XFD15" i="6"/>
  <c r="XFB38" i="6"/>
  <c r="XFB39" i="6" s="1"/>
  <c r="F39" i="8"/>
  <c r="F28" i="8"/>
  <c r="F17" i="8"/>
  <c r="F6" i="8"/>
  <c r="XFC15" i="6"/>
  <c r="XFB15" i="6"/>
  <c r="XFC41" i="6" l="1"/>
  <c r="XFB16" i="6"/>
  <c r="XFC19" i="6" s="1"/>
  <c r="R5" i="8" s="1"/>
  <c r="R27" i="8" l="1"/>
  <c r="R16" i="8"/>
  <c r="X32" i="8"/>
  <c r="L7" i="2"/>
  <c r="X30" i="8" l="1"/>
  <c r="X19" i="8"/>
  <c r="X8" i="8"/>
  <c r="X41" i="2"/>
  <c r="X30" i="2"/>
  <c r="X19" i="2"/>
  <c r="X8" i="2"/>
  <c r="U36" i="8" l="1"/>
  <c r="O36" i="8" s="1"/>
  <c r="I36" i="8" s="1"/>
  <c r="C36" i="8" s="1"/>
  <c r="U25" i="8" l="1"/>
  <c r="XFA45" i="6"/>
  <c r="XFA34" i="6"/>
  <c r="XFA23" i="6"/>
  <c r="X28" i="8"/>
  <c r="X17" i="8"/>
  <c r="X6" i="8"/>
  <c r="XFC30" i="6"/>
  <c r="X21" i="8"/>
  <c r="X10" i="8"/>
  <c r="L7" i="8"/>
  <c r="L18" i="8"/>
  <c r="L29" i="8"/>
  <c r="L40" i="8"/>
  <c r="K7" i="2"/>
  <c r="K7" i="8"/>
  <c r="XFA9" i="6"/>
  <c r="O25" i="8" l="1"/>
  <c r="I25" i="8" s="1"/>
  <c r="C25" i="8" s="1"/>
  <c r="U14" i="8"/>
  <c r="XFA8" i="6"/>
  <c r="X43" i="2"/>
  <c r="X32" i="2"/>
  <c r="X21" i="2"/>
  <c r="X10" i="2"/>
  <c r="O14" i="8" l="1"/>
  <c r="I14" i="8" s="1"/>
  <c r="C14" i="8" s="1"/>
  <c r="U3" i="8"/>
  <c r="X39" i="2"/>
  <c r="X28" i="2"/>
  <c r="X17" i="2"/>
  <c r="X6" i="2"/>
  <c r="O3" i="8" l="1"/>
  <c r="I3" i="8" s="1"/>
  <c r="C3" i="8" s="1"/>
  <c r="U36" i="2"/>
  <c r="F39" i="2"/>
  <c r="L40" i="2"/>
  <c r="L29" i="2"/>
  <c r="L18" i="2"/>
  <c r="F28" i="2"/>
  <c r="F17" i="2"/>
  <c r="F6" i="2"/>
  <c r="F6" i="7"/>
  <c r="L6" i="7"/>
  <c r="U25" i="2" l="1"/>
  <c r="O36" i="2"/>
  <c r="I36" i="2" s="1"/>
  <c r="C36" i="2" s="1"/>
  <c r="L18" i="7"/>
  <c r="X19" i="7"/>
  <c r="X8" i="7"/>
  <c r="X17" i="7"/>
  <c r="X6" i="7"/>
  <c r="L17" i="7"/>
  <c r="F17" i="7"/>
  <c r="F19" i="7"/>
  <c r="L7" i="7"/>
  <c r="O25" i="2" l="1"/>
  <c r="I25" i="2" s="1"/>
  <c r="C25" i="2" s="1"/>
  <c r="U14" i="2"/>
  <c r="XFA49" i="6"/>
  <c r="O14" i="2" l="1"/>
  <c r="I14" i="2" s="1"/>
  <c r="C14" i="2" s="1"/>
  <c r="U3" i="2"/>
  <c r="O3" i="2" s="1"/>
  <c r="I3" i="2" s="1"/>
  <c r="C3" i="2" s="1"/>
  <c r="O10" i="8"/>
  <c r="O43" i="8"/>
  <c r="O32" i="8"/>
  <c r="O21" i="8"/>
  <c r="O10" i="7"/>
  <c r="O32" i="2"/>
  <c r="O21" i="2"/>
  <c r="O10" i="2"/>
  <c r="O43" i="2"/>
  <c r="O21" i="7"/>
  <c r="XFA41" i="6"/>
  <c r="XFA43" i="6"/>
  <c r="XFA30" i="6"/>
  <c r="XFA32" i="6"/>
  <c r="XFA21" i="6"/>
  <c r="XFA19" i="6"/>
  <c r="XFA7" i="6"/>
  <c r="I39" i="8" l="1"/>
  <c r="I6" i="8"/>
  <c r="I28" i="8"/>
  <c r="I17" i="8"/>
  <c r="U11" i="2"/>
  <c r="U44" i="8"/>
  <c r="U33" i="8"/>
  <c r="U22" i="8"/>
  <c r="U11" i="8"/>
  <c r="U44" i="2"/>
  <c r="U33" i="2"/>
  <c r="W33" i="8"/>
  <c r="X33" i="8"/>
  <c r="W22" i="8"/>
  <c r="X22" i="8"/>
  <c r="W11" i="8"/>
  <c r="X11" i="8"/>
  <c r="X44" i="2"/>
  <c r="X33" i="2"/>
  <c r="X22" i="2"/>
  <c r="X11" i="2"/>
  <c r="U22" i="2"/>
  <c r="L6" i="8"/>
  <c r="R41" i="8"/>
  <c r="Q41" i="2"/>
  <c r="O30" i="8"/>
  <c r="Q19" i="2"/>
  <c r="O41" i="8"/>
  <c r="R30" i="8"/>
  <c r="R30" i="2"/>
  <c r="O19" i="8"/>
  <c r="R8" i="2"/>
  <c r="Q8" i="2"/>
  <c r="Q30" i="8"/>
  <c r="Q30" i="2"/>
  <c r="O8" i="8"/>
  <c r="R41" i="2"/>
  <c r="Q19" i="8"/>
  <c r="R19" i="2"/>
  <c r="Q41" i="8"/>
  <c r="R19" i="8"/>
  <c r="R8" i="8"/>
  <c r="Q8" i="8"/>
  <c r="O6" i="8"/>
  <c r="Q17" i="7"/>
  <c r="O28" i="8"/>
  <c r="O17" i="8"/>
  <c r="O27" i="8"/>
  <c r="O16" i="8"/>
  <c r="I5" i="2"/>
  <c r="I16" i="8"/>
  <c r="I38" i="2"/>
  <c r="I39" i="2" s="1"/>
  <c r="I27" i="2"/>
  <c r="I28" i="2" s="1"/>
  <c r="I5" i="8"/>
  <c r="I16" i="2"/>
  <c r="I17" i="2" s="1"/>
  <c r="I38" i="8"/>
  <c r="I27" i="8"/>
  <c r="K39" i="8"/>
  <c r="K28" i="8"/>
  <c r="K6" i="8"/>
  <c r="K17" i="8"/>
  <c r="L17" i="8"/>
  <c r="L28" i="8"/>
  <c r="O5" i="8"/>
  <c r="W22" i="2"/>
  <c r="W11" i="2"/>
  <c r="W33" i="2"/>
  <c r="W44" i="2"/>
  <c r="R39" i="2"/>
  <c r="R6" i="2"/>
  <c r="Q39" i="2"/>
  <c r="Q17" i="2"/>
  <c r="R28" i="2"/>
  <c r="Q6" i="2"/>
  <c r="R17" i="2"/>
  <c r="P41" i="2"/>
  <c r="O19" i="2"/>
  <c r="O41" i="2"/>
  <c r="P8" i="2"/>
  <c r="P8" i="8" s="1"/>
  <c r="P30" i="2"/>
  <c r="O8" i="2"/>
  <c r="O30" i="2"/>
  <c r="P19" i="2"/>
  <c r="O39" i="2"/>
  <c r="O27" i="2"/>
  <c r="O6" i="2"/>
  <c r="O17" i="2"/>
  <c r="O38" i="2"/>
  <c r="O5" i="2"/>
  <c r="Q28" i="2"/>
  <c r="O28" i="2"/>
  <c r="O16" i="2"/>
  <c r="U22" i="7"/>
  <c r="U11" i="7"/>
  <c r="X22" i="7"/>
  <c r="X11" i="7"/>
  <c r="W11" i="7"/>
  <c r="W22" i="7"/>
  <c r="R19" i="7"/>
  <c r="R8" i="7"/>
  <c r="Q19" i="7"/>
  <c r="O8" i="7"/>
  <c r="P19" i="7"/>
  <c r="O19" i="7"/>
  <c r="P8" i="7"/>
  <c r="Q8" i="7"/>
  <c r="R17" i="7"/>
  <c r="O17" i="7"/>
  <c r="O16" i="7"/>
  <c r="XFA10" i="6"/>
  <c r="XFB45" i="6" l="1"/>
  <c r="L27" i="2" s="1"/>
  <c r="XFB10" i="6"/>
  <c r="XFB46" i="6" s="1"/>
  <c r="I6" i="2"/>
  <c r="XFB23" i="6"/>
  <c r="F38" i="8" s="1"/>
  <c r="XFB34" i="6"/>
  <c r="J7" i="2" s="1"/>
  <c r="J7" i="8" s="1"/>
  <c r="V19" i="8" l="1"/>
  <c r="V8" i="8"/>
  <c r="V30" i="8"/>
  <c r="L27" i="8"/>
  <c r="L5" i="8"/>
  <c r="J17" i="8"/>
  <c r="J6" i="8"/>
  <c r="J28" i="8"/>
  <c r="L38" i="8"/>
  <c r="K38" i="8"/>
  <c r="J38" i="8"/>
  <c r="L16" i="8"/>
  <c r="L16" i="2"/>
  <c r="L5" i="2"/>
  <c r="X29" i="8"/>
  <c r="L38" i="2"/>
  <c r="P19" i="8"/>
  <c r="P30" i="8" s="1"/>
  <c r="P41" i="8" s="1"/>
  <c r="L28" i="2"/>
  <c r="L17" i="2"/>
  <c r="L6" i="2"/>
  <c r="K6" i="2"/>
  <c r="L39" i="2"/>
  <c r="K28" i="2"/>
  <c r="K39" i="2"/>
  <c r="K17" i="2"/>
  <c r="J6" i="2"/>
  <c r="J39" i="8"/>
  <c r="J17" i="2"/>
  <c r="J39" i="2"/>
  <c r="J28" i="2"/>
  <c r="W30" i="8"/>
  <c r="L39" i="8"/>
  <c r="R7" i="8"/>
  <c r="V32" i="8"/>
  <c r="R40" i="8"/>
  <c r="V21" i="8"/>
  <c r="V10" i="8"/>
  <c r="R18" i="8"/>
  <c r="R29" i="8"/>
  <c r="W5" i="2"/>
  <c r="R39" i="8"/>
  <c r="V17" i="8"/>
  <c r="V28" i="8"/>
  <c r="R38" i="8"/>
  <c r="P38" i="8"/>
  <c r="O38" i="8"/>
  <c r="Q38" i="8"/>
  <c r="V6" i="8"/>
  <c r="X5" i="2"/>
  <c r="P17" i="8"/>
  <c r="P40" i="8"/>
  <c r="P18" i="8"/>
  <c r="P7" i="8"/>
  <c r="P29" i="8"/>
  <c r="K18" i="8"/>
  <c r="K29" i="8" s="1"/>
  <c r="K40" i="8" s="1"/>
  <c r="K18" i="2"/>
  <c r="K29" i="2" s="1"/>
  <c r="K40" i="2" s="1"/>
  <c r="J18" i="8"/>
  <c r="J29" i="8" s="1"/>
  <c r="J40" i="8" s="1"/>
  <c r="K38" i="2"/>
  <c r="W16" i="2"/>
  <c r="W18" i="2"/>
  <c r="X7" i="8"/>
  <c r="X40" i="8"/>
  <c r="X40" i="2"/>
  <c r="W40" i="2"/>
  <c r="X29" i="2"/>
  <c r="X18" i="2"/>
  <c r="V10" i="2"/>
  <c r="F7" i="8"/>
  <c r="W42" i="2"/>
  <c r="X42" i="2"/>
  <c r="V43" i="2"/>
  <c r="D30" i="8"/>
  <c r="X31" i="2"/>
  <c r="V32" i="2"/>
  <c r="F18" i="8"/>
  <c r="X20" i="2"/>
  <c r="V21" i="2"/>
  <c r="W31" i="2"/>
  <c r="F40" i="8"/>
  <c r="X42" i="8"/>
  <c r="D41" i="8"/>
  <c r="F29" i="8"/>
  <c r="D8" i="8"/>
  <c r="W20" i="2"/>
  <c r="X31" i="8"/>
  <c r="W9" i="2"/>
  <c r="X20" i="8"/>
  <c r="D19" i="8"/>
  <c r="X9" i="2"/>
  <c r="X9" i="8"/>
  <c r="X18" i="8"/>
  <c r="W29" i="2"/>
  <c r="W7" i="2"/>
  <c r="X7" i="2"/>
  <c r="D17" i="8"/>
  <c r="X38" i="8"/>
  <c r="X27" i="8"/>
  <c r="X16" i="8"/>
  <c r="X5" i="8"/>
  <c r="D28" i="8"/>
  <c r="D39" i="8" s="1"/>
  <c r="D6" i="8"/>
  <c r="P28" i="8"/>
  <c r="P6" i="8"/>
  <c r="W38" i="2"/>
  <c r="X16" i="2"/>
  <c r="W27" i="2"/>
  <c r="X27" i="2"/>
  <c r="X38" i="2"/>
  <c r="F5" i="8" s="1"/>
  <c r="D6" i="2"/>
  <c r="D17" i="2"/>
  <c r="D39" i="2"/>
  <c r="D28" i="2"/>
  <c r="R18" i="2"/>
  <c r="R7" i="2"/>
  <c r="R40" i="2"/>
  <c r="R29" i="2"/>
  <c r="P17" i="7"/>
  <c r="P28" i="2"/>
  <c r="F38" i="2"/>
  <c r="P6" i="2"/>
  <c r="P39" i="2"/>
  <c r="P17" i="2"/>
  <c r="F29" i="2"/>
  <c r="F18" i="2"/>
  <c r="F7" i="2"/>
  <c r="F40" i="2"/>
  <c r="K7" i="7"/>
  <c r="K17" i="7"/>
  <c r="J18" i="7"/>
  <c r="J18" i="2"/>
  <c r="J29" i="2" s="1"/>
  <c r="J40" i="2" s="1"/>
  <c r="D41" i="2"/>
  <c r="D30" i="2"/>
  <c r="D19" i="2"/>
  <c r="D8" i="2"/>
  <c r="D19" i="7"/>
</calcChain>
</file>

<file path=xl/sharedStrings.xml><?xml version="1.0" encoding="utf-8"?>
<sst xmlns="http://schemas.openxmlformats.org/spreadsheetml/2006/main" count="684" uniqueCount="98">
  <si>
    <t>Comp Bench</t>
  </si>
  <si>
    <t>Rowing Unilatéral</t>
  </si>
  <si>
    <t>Comp Squat</t>
  </si>
  <si>
    <t>Comp Deadlift</t>
  </si>
  <si>
    <t>EXERCICE</t>
  </si>
  <si>
    <t>SÉRIES</t>
  </si>
  <si>
    <t>REPS</t>
  </si>
  <si>
    <t>CHARGE</t>
  </si>
  <si>
    <t>TOPSET</t>
  </si>
  <si>
    <t>RPE6</t>
  </si>
  <si>
    <t>R</t>
  </si>
  <si>
    <t>E</t>
  </si>
  <si>
    <t>RPE7</t>
  </si>
  <si>
    <t>P</t>
  </si>
  <si>
    <t>RPE8</t>
  </si>
  <si>
    <t>O</t>
  </si>
  <si>
    <t>8-15</t>
  </si>
  <si>
    <t>S</t>
  </si>
  <si>
    <t>Semaine 1</t>
  </si>
  <si>
    <t>Crunch Poulie Haute</t>
  </si>
  <si>
    <t>12-20</t>
  </si>
  <si>
    <t>Copenhagen Plank</t>
  </si>
  <si>
    <t>Facepull + EL</t>
  </si>
  <si>
    <t>Semaine 2</t>
  </si>
  <si>
    <t>Semaine 3</t>
  </si>
  <si>
    <t>Semaine 4</t>
  </si>
  <si>
    <t>Tshirt Tempo 3:2:0 Bench</t>
  </si>
  <si>
    <t>SQUAT</t>
  </si>
  <si>
    <t>Taille :</t>
  </si>
  <si>
    <t>Âge :</t>
  </si>
  <si>
    <t>Poids :</t>
  </si>
  <si>
    <t>Tirage Vertical</t>
  </si>
  <si>
    <t>OHP</t>
  </si>
  <si>
    <t>INFORMATIONS :</t>
  </si>
  <si>
    <t>PROGRAMME ILIADE</t>
  </si>
  <si>
    <t>I/</t>
  </si>
  <si>
    <t>II/</t>
  </si>
  <si>
    <t>III/</t>
  </si>
  <si>
    <t>IV/</t>
  </si>
  <si>
    <t>PROFIL :</t>
  </si>
  <si>
    <t>KG</t>
  </si>
  <si>
    <t>Sexe :</t>
  </si>
  <si>
    <t>cm</t>
  </si>
  <si>
    <t>ans</t>
  </si>
  <si>
    <t>kg</t>
  </si>
  <si>
    <r>
      <t xml:space="preserve">1RM </t>
    </r>
    <r>
      <rPr>
        <u/>
        <sz val="16"/>
        <color theme="0"/>
        <rFont val="Calibri"/>
        <family val="2"/>
        <scheme val="minor"/>
      </rPr>
      <t>ACTUELLE</t>
    </r>
    <r>
      <rPr>
        <sz val="16"/>
        <color theme="0"/>
        <rFont val="Calibri"/>
        <family val="2"/>
        <scheme val="minor"/>
      </rPr>
      <t xml:space="preserve"> :</t>
    </r>
  </si>
  <si>
    <t>Arrondir les poids à :</t>
  </si>
  <si>
    <t>kg près</t>
  </si>
  <si>
    <t>Problème technique :</t>
  </si>
  <si>
    <t>Point difficile du mouvement :</t>
  </si>
  <si>
    <t>DC</t>
  </si>
  <si>
    <t>Sexe</t>
  </si>
  <si>
    <t>Age</t>
  </si>
  <si>
    <t>Poids</t>
  </si>
  <si>
    <t xml:space="preserve">Total </t>
  </si>
  <si>
    <t>Tech S</t>
  </si>
  <si>
    <t>Dur S</t>
  </si>
  <si>
    <t>Dur B</t>
  </si>
  <si>
    <t>Tech B</t>
  </si>
  <si>
    <t>Vol S</t>
  </si>
  <si>
    <t>Vol B</t>
  </si>
  <si>
    <t>Vol D</t>
  </si>
  <si>
    <t>Dur D</t>
  </si>
  <si>
    <t>Tech D</t>
  </si>
  <si>
    <t>PB Art.</t>
  </si>
  <si>
    <t>Superset Bras</t>
  </si>
  <si>
    <t>Deadbug</t>
  </si>
  <si>
    <t>Tractions (lestées)</t>
  </si>
  <si>
    <t>Récupération sur ce mouvement :</t>
  </si>
  <si>
    <t>SEANCE 1</t>
  </si>
  <si>
    <t>SEANCE 2</t>
  </si>
  <si>
    <t>SEANCE 6</t>
  </si>
  <si>
    <t>Seance 3</t>
  </si>
  <si>
    <t>Seance 7</t>
  </si>
  <si>
    <t>Seance 4</t>
  </si>
  <si>
    <t>SEANCE 5</t>
  </si>
  <si>
    <t>Seance 8</t>
  </si>
  <si>
    <t>-</t>
  </si>
  <si>
    <t>recapblock1B</t>
  </si>
  <si>
    <t>recapblock1D</t>
  </si>
  <si>
    <t>Tirage Horizontal Machine</t>
  </si>
  <si>
    <t>Effectuer le Block d'introduction de 2 semaines si votre fréquence avant ce programme ne dépassait pas 1x chaque mouvement par semaine / vous n'avez pas l'habitude des RPE.</t>
  </si>
  <si>
    <t>Effectuer le Block 1 de ce programme, qui est composé des 4 premières semaines. S'assurer de bien remplir la colonne Topset lorsqu'elle est disponible.</t>
  </si>
  <si>
    <t>V/</t>
  </si>
  <si>
    <t>Le Block 2 va être automatiquement modifié si besoin, après analyse de vos Topsets du Block précédent.</t>
  </si>
  <si>
    <t>VI/</t>
  </si>
  <si>
    <t>Avez-vous une articulation qui a tendance à poser problème ?</t>
  </si>
  <si>
    <t>Enfin, utilisez-vous le programme pour vous préparer pour une date spéciale ? Si oui, l'indiquer ici :</t>
  </si>
  <si>
    <t>Effectuer le Block 2 du programme.</t>
  </si>
  <si>
    <t>VII/</t>
  </si>
  <si>
    <t>https://www.atlascoaching.net</t>
  </si>
  <si>
    <t>Remplir l'onglet "Profil" avec toutes vos informations. Indiquez bien votre type de SDT.</t>
  </si>
  <si>
    <t>recapblock1S</t>
  </si>
  <si>
    <t>terre ajusté</t>
  </si>
  <si>
    <t>t pas censé voir ca bg</t>
  </si>
  <si>
    <t>Lire le fichier .pdf explicatif disponible sur le site.</t>
  </si>
  <si>
    <r>
      <rPr>
        <sz val="14"/>
        <color theme="0" tint="-4.9989318521683403E-2"/>
        <rFont val="Calibri"/>
        <family val="2"/>
      </rPr>
      <t>Me tenir au courant de vos progrès et les poster sur le</t>
    </r>
    <r>
      <rPr>
        <u/>
        <sz val="14"/>
        <color theme="0" tint="-4.9989318521683403E-2"/>
        <rFont val="Calibri"/>
        <family val="2"/>
      </rPr>
      <t xml:space="preserve"> #PROGRAMMEILIADE .</t>
    </r>
  </si>
  <si>
    <t>SDT TRADI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</si>
</sst>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"/>
  </numFmts>
  <fonts count="4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color rgb="FFFFFFFF"/>
      <name val="Augustus"/>
    </font>
    <font>
      <sz val="11"/>
      <name val="Calibri"/>
      <family val="2"/>
    </font>
    <font>
      <sz val="11"/>
      <color rgb="FF8EAADB"/>
      <name val="Augustus"/>
    </font>
    <font>
      <sz val="11"/>
      <color rgb="FF70AD47"/>
      <name val="Augustus"/>
    </font>
    <font>
      <sz val="11"/>
      <color rgb="FFC00000"/>
      <name val="Augustus"/>
    </font>
    <font>
      <b/>
      <sz val="16"/>
      <color rgb="FF000000"/>
      <name val="Calibri"/>
      <family val="2"/>
    </font>
    <font>
      <b/>
      <sz val="14"/>
      <color rgb="FFFFFFFF"/>
      <name val="Augustus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name val="Calibri"/>
      <family val="2"/>
      <scheme val="minor"/>
    </font>
    <font>
      <b/>
      <u/>
      <sz val="28"/>
      <color theme="0"/>
      <name val="Augustus"/>
    </font>
    <font>
      <sz val="16"/>
      <color theme="0"/>
      <name val="Augustus"/>
    </font>
    <font>
      <b/>
      <sz val="22"/>
      <color theme="0"/>
      <name val="Augustus"/>
    </font>
    <font>
      <sz val="26"/>
      <name val="Calibri"/>
      <family val="2"/>
      <scheme val="minor"/>
    </font>
    <font>
      <u/>
      <sz val="16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8" tint="0.39997558519241921"/>
      <name val="Augustus"/>
    </font>
    <font>
      <sz val="11"/>
      <color theme="8" tint="0.39997558519241921"/>
      <name val="Calibri"/>
      <family val="2"/>
    </font>
    <font>
      <sz val="16"/>
      <color theme="1"/>
      <name val="Calibri"/>
      <family val="2"/>
      <scheme val="minor"/>
    </font>
    <font>
      <sz val="11"/>
      <color theme="9"/>
      <name val="Augustus"/>
    </font>
    <font>
      <sz val="11"/>
      <color theme="9"/>
      <name val="Calibri"/>
      <family val="2"/>
    </font>
    <font>
      <sz val="11"/>
      <color rgb="FFC00000"/>
      <name val="Calibri"/>
      <family val="2"/>
    </font>
    <font>
      <u/>
      <sz val="11"/>
      <color theme="10"/>
      <name val="Calibri"/>
      <family val="2"/>
    </font>
    <font>
      <u/>
      <sz val="14"/>
      <color theme="0"/>
      <name val="Calibri"/>
      <family val="2"/>
    </font>
    <font>
      <sz val="14"/>
      <color theme="0"/>
      <name val="Calibri"/>
      <family val="2"/>
    </font>
    <font>
      <u/>
      <sz val="14"/>
      <color theme="0" tint="-4.9989318521683403E-2"/>
      <name val="Calibri"/>
      <family val="2"/>
    </font>
    <font>
      <u/>
      <sz val="16"/>
      <color theme="0" tint="-4.9989318521683403E-2"/>
      <name val="Calibri"/>
      <family val="2"/>
    </font>
    <font>
      <sz val="14"/>
      <color theme="0" tint="-4.9989318521683403E-2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0C0C0C"/>
        <bgColor rgb="FF0C0C0C"/>
      </patternFill>
    </fill>
    <fill>
      <patternFill patternType="solid">
        <fgColor rgb="FF262626"/>
        <bgColor rgb="FF262626"/>
      </patternFill>
    </fill>
    <fill>
      <patternFill patternType="solid">
        <fgColor rgb="FFF2F2F2"/>
        <bgColor rgb="FFF2F2F2"/>
      </patternFill>
    </fill>
    <fill>
      <patternFill patternType="solid">
        <fgColor rgb="FFAEABAB"/>
        <bgColor rgb="FFAEABAB"/>
      </patternFill>
    </fill>
    <fill>
      <patternFill patternType="solid">
        <fgColor rgb="FF800000"/>
        <bgColor rgb="FF800000"/>
      </patternFill>
    </fill>
    <fill>
      <patternFill patternType="solid">
        <fgColor rgb="FF000000"/>
        <bgColor rgb="FF000000"/>
      </patternFill>
    </fill>
    <fill>
      <patternFill patternType="solid">
        <fgColor rgb="FF757070"/>
        <bgColor rgb="FF757070"/>
      </patternFill>
    </fill>
    <fill>
      <patternFill patternType="solid">
        <fgColor theme="2" tint="-0.249977111117893"/>
        <bgColor rgb="FFF2F2F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rgb="FFAEABAB"/>
      </patternFill>
    </fill>
    <fill>
      <patternFill patternType="solid">
        <fgColor theme="2" tint="-0.249977111117893"/>
        <bgColor rgb="FFAEABAB"/>
      </patternFill>
    </fill>
    <fill>
      <patternFill patternType="solid">
        <fgColor theme="1" tint="0.14999847407452621"/>
        <bgColor rgb="FFAEABAB"/>
      </patternFill>
    </fill>
    <fill>
      <patternFill patternType="solid">
        <fgColor theme="1" tint="0.14999847407452621"/>
        <bgColor rgb="FFF2F2F2"/>
      </patternFill>
    </fill>
    <fill>
      <patternFill patternType="solid">
        <fgColor theme="1" tint="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23"/>
    <xf numFmtId="0" fontId="4" fillId="0" borderId="23"/>
    <xf numFmtId="0" fontId="38" fillId="0" borderId="0" applyNumberFormat="0" applyFill="0" applyBorder="0" applyAlignment="0" applyProtection="0"/>
  </cellStyleXfs>
  <cellXfs count="230">
    <xf numFmtId="0" fontId="0" fillId="0" borderId="0" xfId="0" applyFont="1" applyAlignment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0" fillId="6" borderId="4" xfId="0" applyFont="1" applyFill="1" applyBorder="1"/>
    <xf numFmtId="0" fontId="0" fillId="6" borderId="9" xfId="0" applyFont="1" applyFill="1" applyBorder="1"/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9" fontId="0" fillId="5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/>
    </xf>
    <xf numFmtId="49" fontId="0" fillId="5" borderId="19" xfId="0" applyNumberFormat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0" fillId="13" borderId="12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4" fillId="12" borderId="23" xfId="2" applyFill="1" applyBorder="1"/>
    <xf numFmtId="0" fontId="21" fillId="12" borderId="23" xfId="2" applyFont="1" applyFill="1" applyBorder="1"/>
    <xf numFmtId="0" fontId="21" fillId="12" borderId="23" xfId="2" applyFont="1" applyFill="1" applyBorder="1" applyAlignment="1">
      <alignment horizontal="center" vertical="center"/>
    </xf>
    <xf numFmtId="0" fontId="4" fillId="12" borderId="23" xfId="2" applyFill="1" applyBorder="1" applyAlignment="1">
      <alignment horizontal="center" vertical="center"/>
    </xf>
    <xf numFmtId="0" fontId="17" fillId="12" borderId="23" xfId="2" applyFont="1" applyFill="1" applyBorder="1" applyAlignment="1">
      <alignment horizontal="center" vertical="center"/>
    </xf>
    <xf numFmtId="1" fontId="15" fillId="5" borderId="1" xfId="0" applyNumberFormat="1" applyFont="1" applyFill="1" applyBorder="1" applyAlignment="1">
      <alignment horizontal="center" vertical="center"/>
    </xf>
    <xf numFmtId="0" fontId="20" fillId="12" borderId="23" xfId="2" applyFont="1" applyFill="1" applyBorder="1" applyAlignment="1">
      <alignment horizontal="center" vertical="center"/>
    </xf>
    <xf numFmtId="0" fontId="15" fillId="14" borderId="12" xfId="0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/>
    </xf>
    <xf numFmtId="0" fontId="0" fillId="14" borderId="12" xfId="0" applyFont="1" applyFill="1" applyBorder="1" applyAlignment="1">
      <alignment horizontal="center" vertical="center"/>
    </xf>
    <xf numFmtId="9" fontId="0" fillId="14" borderId="1" xfId="0" applyNumberFormat="1" applyFont="1" applyFill="1" applyBorder="1" applyAlignment="1">
      <alignment horizontal="center" vertical="center"/>
    </xf>
    <xf numFmtId="0" fontId="0" fillId="9" borderId="18" xfId="0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49" fontId="6" fillId="9" borderId="19" xfId="0" applyNumberFormat="1" applyFont="1" applyFill="1" applyBorder="1" applyAlignment="1">
      <alignment horizontal="center" vertical="center"/>
    </xf>
    <xf numFmtId="0" fontId="15" fillId="13" borderId="12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/>
    </xf>
    <xf numFmtId="0" fontId="0" fillId="9" borderId="16" xfId="0" applyFont="1" applyFill="1" applyBorder="1" applyAlignment="1">
      <alignment horizontal="center"/>
    </xf>
    <xf numFmtId="49" fontId="0" fillId="9" borderId="16" xfId="0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9" fontId="0" fillId="9" borderId="1" xfId="0" applyNumberFormat="1" applyFont="1" applyFill="1" applyBorder="1" applyAlignment="1">
      <alignment horizontal="center" vertical="center"/>
    </xf>
    <xf numFmtId="0" fontId="20" fillId="12" borderId="23" xfId="2" applyFont="1" applyFill="1" applyBorder="1" applyAlignment="1">
      <alignment horizontal="center" vertical="center"/>
    </xf>
    <xf numFmtId="0" fontId="25" fillId="12" borderId="23" xfId="2" applyFont="1" applyFill="1" applyBorder="1" applyAlignment="1">
      <alignment horizontal="center" vertical="center"/>
    </xf>
    <xf numFmtId="0" fontId="3" fillId="12" borderId="23" xfId="2" applyFont="1" applyFill="1" applyBorder="1" applyAlignment="1">
      <alignment horizontal="center" vertical="center"/>
    </xf>
    <xf numFmtId="0" fontId="3" fillId="12" borderId="23" xfId="2" applyFont="1" applyFill="1" applyBorder="1" applyAlignment="1">
      <alignment horizontal="right" vertical="center"/>
    </xf>
    <xf numFmtId="0" fontId="0" fillId="13" borderId="16" xfId="0" applyFont="1" applyFill="1" applyBorder="1" applyAlignment="1">
      <alignment horizontal="center"/>
    </xf>
    <xf numFmtId="49" fontId="0" fillId="13" borderId="16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5" borderId="18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/>
    </xf>
    <xf numFmtId="49" fontId="0" fillId="15" borderId="1" xfId="0" applyNumberFormat="1" applyFont="1" applyFill="1" applyBorder="1" applyAlignment="1">
      <alignment horizontal="center" vertical="center"/>
    </xf>
    <xf numFmtId="0" fontId="0" fillId="15" borderId="1" xfId="0" applyFont="1" applyFill="1" applyBorder="1"/>
    <xf numFmtId="0" fontId="15" fillId="15" borderId="12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/>
    </xf>
    <xf numFmtId="0" fontId="0" fillId="15" borderId="12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center" vertical="center"/>
    </xf>
    <xf numFmtId="0" fontId="0" fillId="9" borderId="24" xfId="0" applyFont="1" applyFill="1" applyBorder="1" applyAlignment="1">
      <alignment horizontal="center" vertical="center"/>
    </xf>
    <xf numFmtId="0" fontId="20" fillId="12" borderId="23" xfId="2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 wrapText="1"/>
    </xf>
    <xf numFmtId="0" fontId="15" fillId="9" borderId="34" xfId="0" applyFont="1" applyFill="1" applyBorder="1" applyAlignment="1">
      <alignment horizontal="center" vertical="center" wrapText="1"/>
    </xf>
    <xf numFmtId="0" fontId="15" fillId="9" borderId="24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/>
    </xf>
    <xf numFmtId="9" fontId="0" fillId="13" borderId="1" xfId="0" applyNumberFormat="1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0" fillId="6" borderId="22" xfId="0" applyFont="1" applyFill="1" applyBorder="1"/>
    <xf numFmtId="0" fontId="0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15" borderId="23" xfId="0" applyFont="1" applyFill="1" applyBorder="1" applyAlignment="1">
      <alignment horizontal="center" vertical="center"/>
    </xf>
    <xf numFmtId="0" fontId="15" fillId="14" borderId="33" xfId="0" applyFont="1" applyFill="1" applyBorder="1" applyAlignment="1">
      <alignment horizontal="center" vertical="center"/>
    </xf>
    <xf numFmtId="0" fontId="0" fillId="14" borderId="23" xfId="0" applyFont="1" applyFill="1" applyBorder="1" applyAlignment="1">
      <alignment horizontal="center" vertical="center"/>
    </xf>
    <xf numFmtId="0" fontId="15" fillId="14" borderId="23" xfId="0" applyFont="1" applyFill="1" applyBorder="1" applyAlignment="1">
      <alignment horizontal="center" vertical="center"/>
    </xf>
    <xf numFmtId="0" fontId="0" fillId="14" borderId="33" xfId="0" applyFont="1" applyFill="1" applyBorder="1" applyAlignment="1">
      <alignment horizontal="center" vertical="center"/>
    </xf>
    <xf numFmtId="9" fontId="0" fillId="13" borderId="23" xfId="0" applyNumberFormat="1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0" fillId="9" borderId="34" xfId="0" applyFont="1" applyFill="1" applyBorder="1" applyAlignment="1">
      <alignment horizontal="center" vertical="center"/>
    </xf>
    <xf numFmtId="49" fontId="6" fillId="9" borderId="24" xfId="0" applyNumberFormat="1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5" fillId="13" borderId="33" xfId="0" applyFont="1" applyFill="1" applyBorder="1" applyAlignment="1">
      <alignment horizontal="center" vertical="center"/>
    </xf>
    <xf numFmtId="0" fontId="15" fillId="13" borderId="23" xfId="0" applyFont="1" applyFill="1" applyBorder="1" applyAlignment="1">
      <alignment horizontal="center" vertical="center"/>
    </xf>
    <xf numFmtId="0" fontId="0" fillId="13" borderId="23" xfId="0" applyFont="1" applyFill="1" applyBorder="1" applyAlignment="1">
      <alignment horizontal="center" vertical="center"/>
    </xf>
    <xf numFmtId="0" fontId="0" fillId="13" borderId="33" xfId="0" applyFont="1" applyFill="1" applyBorder="1" applyAlignment="1">
      <alignment horizontal="center" vertical="center"/>
    </xf>
    <xf numFmtId="0" fontId="8" fillId="10" borderId="33" xfId="0" applyFont="1" applyFill="1" applyBorder="1" applyAlignment="1">
      <alignment horizontal="center"/>
    </xf>
    <xf numFmtId="0" fontId="0" fillId="9" borderId="23" xfId="0" applyFont="1" applyFill="1" applyBorder="1" applyAlignment="1">
      <alignment horizontal="center"/>
    </xf>
    <xf numFmtId="49" fontId="0" fillId="9" borderId="23" xfId="0" applyNumberFormat="1" applyFont="1" applyFill="1" applyBorder="1" applyAlignment="1">
      <alignment horizontal="center"/>
    </xf>
    <xf numFmtId="0" fontId="8" fillId="11" borderId="33" xfId="0" applyFont="1" applyFill="1" applyBorder="1" applyAlignment="1">
      <alignment horizontal="center"/>
    </xf>
    <xf numFmtId="0" fontId="0" fillId="13" borderId="23" xfId="0" applyFont="1" applyFill="1" applyBorder="1" applyAlignment="1">
      <alignment horizontal="center"/>
    </xf>
    <xf numFmtId="49" fontId="0" fillId="13" borderId="23" xfId="0" applyNumberFormat="1" applyFont="1" applyFill="1" applyBorder="1" applyAlignment="1">
      <alignment horizontal="center"/>
    </xf>
    <xf numFmtId="0" fontId="0" fillId="15" borderId="34" xfId="0" applyFont="1" applyFill="1" applyBorder="1" applyAlignment="1">
      <alignment horizontal="center" vertical="center" wrapText="1"/>
    </xf>
    <xf numFmtId="0" fontId="0" fillId="15" borderId="24" xfId="0" applyFont="1" applyFill="1" applyBorder="1" applyAlignment="1">
      <alignment horizontal="center" vertical="center"/>
    </xf>
    <xf numFmtId="49" fontId="0" fillId="15" borderId="24" xfId="0" applyNumberFormat="1" applyFont="1" applyFill="1" applyBorder="1" applyAlignment="1">
      <alignment horizontal="center" vertical="center"/>
    </xf>
    <xf numFmtId="0" fontId="0" fillId="15" borderId="24" xfId="0" applyFont="1" applyFill="1" applyBorder="1"/>
    <xf numFmtId="0" fontId="15" fillId="4" borderId="35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0" fontId="0" fillId="5" borderId="34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/>
    </xf>
    <xf numFmtId="49" fontId="0" fillId="5" borderId="24" xfId="0" applyNumberFormat="1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/>
    </xf>
    <xf numFmtId="0" fontId="8" fillId="11" borderId="23" xfId="0" applyFont="1" applyFill="1" applyBorder="1" applyAlignment="1">
      <alignment horizontal="center"/>
    </xf>
    <xf numFmtId="0" fontId="0" fillId="15" borderId="24" xfId="0" applyFont="1" applyFill="1" applyBorder="1" applyAlignment="1">
      <alignment horizontal="center" vertical="center" wrapText="1"/>
    </xf>
    <xf numFmtId="0" fontId="0" fillId="8" borderId="39" xfId="0" applyFont="1" applyFill="1" applyBorder="1"/>
    <xf numFmtId="0" fontId="0" fillId="8" borderId="40" xfId="0" applyFont="1" applyFill="1" applyBorder="1"/>
    <xf numFmtId="0" fontId="12" fillId="8" borderId="40" xfId="0" applyFont="1" applyFill="1" applyBorder="1" applyAlignment="1">
      <alignment horizontal="center" vertical="center"/>
    </xf>
    <xf numFmtId="0" fontId="0" fillId="8" borderId="41" xfId="0" applyFont="1" applyFill="1" applyBorder="1"/>
    <xf numFmtId="0" fontId="0" fillId="15" borderId="21" xfId="0" applyFont="1" applyFill="1" applyBorder="1" applyAlignment="1">
      <alignment horizontal="center" vertical="center" wrapText="1"/>
    </xf>
    <xf numFmtId="0" fontId="2" fillId="12" borderId="23" xfId="2" applyFont="1" applyFill="1" applyBorder="1" applyAlignment="1">
      <alignment horizontal="center" vertical="center"/>
    </xf>
    <xf numFmtId="0" fontId="0" fillId="9" borderId="37" xfId="0" applyFont="1" applyFill="1" applyBorder="1" applyAlignment="1">
      <alignment horizontal="center" vertical="center"/>
    </xf>
    <xf numFmtId="0" fontId="0" fillId="13" borderId="37" xfId="0" applyFont="1" applyFill="1" applyBorder="1" applyAlignment="1">
      <alignment horizontal="center" vertical="center"/>
    </xf>
    <xf numFmtId="0" fontId="0" fillId="9" borderId="37" xfId="0" applyFont="1" applyFill="1" applyBorder="1" applyAlignment="1">
      <alignment horizontal="center"/>
    </xf>
    <xf numFmtId="0" fontId="0" fillId="13" borderId="37" xfId="0" applyFont="1" applyFill="1" applyBorder="1" applyAlignment="1">
      <alignment horizontal="center"/>
    </xf>
    <xf numFmtId="0" fontId="0" fillId="15" borderId="38" xfId="0" applyFont="1" applyFill="1" applyBorder="1"/>
    <xf numFmtId="0" fontId="0" fillId="3" borderId="35" xfId="0" applyFont="1" applyFill="1" applyBorder="1"/>
    <xf numFmtId="0" fontId="0" fillId="3" borderId="33" xfId="0" applyFont="1" applyFill="1" applyBorder="1"/>
    <xf numFmtId="0" fontId="0" fillId="3" borderId="42" xfId="0" applyFont="1" applyFill="1" applyBorder="1"/>
    <xf numFmtId="0" fontId="0" fillId="3" borderId="43" xfId="0" applyFont="1" applyFill="1" applyBorder="1"/>
    <xf numFmtId="0" fontId="0" fillId="3" borderId="44" xfId="0" applyFont="1" applyFill="1" applyBorder="1"/>
    <xf numFmtId="0" fontId="0" fillId="3" borderId="36" xfId="0" applyFont="1" applyFill="1" applyBorder="1"/>
    <xf numFmtId="0" fontId="0" fillId="16" borderId="44" xfId="0" applyFont="1" applyFill="1" applyBorder="1" applyAlignment="1">
      <alignment horizontal="center" vertical="center"/>
    </xf>
    <xf numFmtId="0" fontId="0" fillId="17" borderId="44" xfId="0" applyFont="1" applyFill="1" applyBorder="1" applyAlignment="1">
      <alignment horizontal="center" vertical="center"/>
    </xf>
    <xf numFmtId="0" fontId="0" fillId="3" borderId="46" xfId="0" applyFont="1" applyFill="1" applyBorder="1"/>
    <xf numFmtId="0" fontId="0" fillId="3" borderId="23" xfId="0" applyFont="1" applyFill="1" applyBorder="1"/>
    <xf numFmtId="0" fontId="0" fillId="4" borderId="49" xfId="0" applyFont="1" applyFill="1" applyBorder="1" applyAlignment="1">
      <alignment horizontal="center" vertical="center"/>
    </xf>
    <xf numFmtId="0" fontId="0" fillId="15" borderId="33" xfId="0" applyFont="1" applyFill="1" applyBorder="1" applyAlignment="1">
      <alignment horizontal="center" vertical="center"/>
    </xf>
    <xf numFmtId="0" fontId="0" fillId="15" borderId="37" xfId="0" applyFont="1" applyFill="1" applyBorder="1" applyAlignment="1">
      <alignment horizontal="center" vertical="center"/>
    </xf>
    <xf numFmtId="0" fontId="1" fillId="12" borderId="23" xfId="2" applyFont="1" applyFill="1" applyBorder="1" applyAlignment="1">
      <alignment horizontal="center" vertical="center"/>
    </xf>
    <xf numFmtId="165" fontId="1" fillId="12" borderId="23" xfId="2" applyNumberFormat="1" applyFont="1" applyFill="1" applyBorder="1" applyAlignment="1">
      <alignment horizontal="center" vertical="center"/>
    </xf>
    <xf numFmtId="165" fontId="4" fillId="12" borderId="23" xfId="2" applyNumberFormat="1" applyFill="1" applyBorder="1"/>
    <xf numFmtId="165" fontId="4" fillId="12" borderId="23" xfId="2" applyNumberFormat="1" applyFill="1" applyBorder="1" applyAlignment="1">
      <alignment horizontal="center" vertical="center"/>
    </xf>
    <xf numFmtId="0" fontId="22" fillId="11" borderId="23" xfId="2" applyFont="1" applyFill="1" applyBorder="1" applyAlignment="1" applyProtection="1">
      <alignment horizontal="center" vertical="center"/>
      <protection locked="0"/>
    </xf>
    <xf numFmtId="0" fontId="19" fillId="11" borderId="23" xfId="2" applyFont="1" applyFill="1" applyBorder="1" applyAlignment="1" applyProtection="1">
      <alignment horizontal="center" vertical="center"/>
      <protection locked="0"/>
    </xf>
    <xf numFmtId="0" fontId="18" fillId="11" borderId="23" xfId="2" applyFont="1" applyFill="1" applyBorder="1" applyAlignment="1" applyProtection="1">
      <alignment horizontal="center" vertical="center"/>
      <protection locked="0"/>
    </xf>
    <xf numFmtId="0" fontId="20" fillId="18" borderId="23" xfId="2" applyFont="1" applyFill="1" applyBorder="1" applyAlignment="1">
      <alignment horizontal="center" vertical="center"/>
    </xf>
    <xf numFmtId="0" fontId="16" fillId="18" borderId="23" xfId="2" applyFont="1" applyFill="1" applyBorder="1" applyAlignment="1">
      <alignment horizontal="center" vertical="center"/>
    </xf>
    <xf numFmtId="0" fontId="4" fillId="18" borderId="23" xfId="2" applyFill="1" applyBorder="1"/>
    <xf numFmtId="0" fontId="18" fillId="18" borderId="23" xfId="2" applyFont="1" applyFill="1" applyBorder="1" applyAlignment="1">
      <alignment horizontal="center" vertical="center"/>
    </xf>
    <xf numFmtId="0" fontId="19" fillId="18" borderId="23" xfId="2" applyFont="1" applyFill="1" applyBorder="1" applyAlignment="1">
      <alignment horizontal="center" vertical="center"/>
    </xf>
    <xf numFmtId="0" fontId="28" fillId="18" borderId="23" xfId="2" applyFont="1" applyFill="1" applyBorder="1" applyAlignment="1">
      <alignment horizontal="right" vertical="center"/>
    </xf>
    <xf numFmtId="0" fontId="20" fillId="18" borderId="23" xfId="2" applyFont="1" applyFill="1" applyBorder="1" applyAlignment="1">
      <alignment vertical="top" wrapText="1"/>
    </xf>
    <xf numFmtId="0" fontId="17" fillId="18" borderId="23" xfId="2" applyFont="1" applyFill="1" applyBorder="1" applyAlignment="1">
      <alignment horizontal="center" vertical="center"/>
    </xf>
    <xf numFmtId="0" fontId="4" fillId="18" borderId="23" xfId="2" applyFill="1" applyBorder="1" applyAlignment="1">
      <alignment horizontal="center" vertical="center"/>
    </xf>
    <xf numFmtId="0" fontId="20" fillId="18" borderId="23" xfId="2" applyFont="1" applyFill="1" applyBorder="1" applyAlignment="1">
      <alignment horizontal="left" vertical="top" wrapText="1"/>
    </xf>
    <xf numFmtId="0" fontId="23" fillId="18" borderId="23" xfId="2" applyFont="1" applyFill="1" applyBorder="1" applyAlignment="1">
      <alignment horizontal="center" vertical="center"/>
    </xf>
    <xf numFmtId="0" fontId="24" fillId="18" borderId="23" xfId="2" applyFont="1" applyFill="1" applyBorder="1" applyAlignment="1">
      <alignment horizontal="center" vertical="center"/>
    </xf>
    <xf numFmtId="0" fontId="18" fillId="18" borderId="23" xfId="2" applyFont="1" applyFill="1" applyBorder="1" applyAlignment="1">
      <alignment horizontal="center" vertical="center" wrapText="1"/>
    </xf>
    <xf numFmtId="0" fontId="25" fillId="18" borderId="23" xfId="2" applyFont="1" applyFill="1" applyBorder="1" applyAlignment="1">
      <alignment horizontal="center" vertical="center"/>
    </xf>
    <xf numFmtId="0" fontId="20" fillId="18" borderId="23" xfId="2" applyFont="1" applyFill="1" applyBorder="1" applyAlignment="1">
      <alignment horizontal="left" vertical="center"/>
    </xf>
    <xf numFmtId="0" fontId="17" fillId="18" borderId="23" xfId="2" applyFont="1" applyFill="1" applyBorder="1" applyAlignment="1">
      <alignment horizontal="left" vertical="center"/>
    </xf>
    <xf numFmtId="0" fontId="18" fillId="18" borderId="27" xfId="2" applyFont="1" applyFill="1" applyBorder="1" applyAlignment="1">
      <alignment horizontal="center" vertical="center"/>
    </xf>
    <xf numFmtId="0" fontId="4" fillId="18" borderId="25" xfId="2" applyFill="1" applyBorder="1" applyAlignment="1">
      <alignment horizontal="center" vertical="center"/>
    </xf>
    <xf numFmtId="0" fontId="20" fillId="18" borderId="25" xfId="2" applyFont="1" applyFill="1" applyBorder="1" applyAlignment="1">
      <alignment horizontal="center" vertical="center"/>
    </xf>
    <xf numFmtId="0" fontId="24" fillId="18" borderId="25" xfId="2" applyFont="1" applyFill="1" applyBorder="1" applyAlignment="1">
      <alignment horizontal="center" vertical="center"/>
    </xf>
    <xf numFmtId="0" fontId="18" fillId="18" borderId="25" xfId="2" applyFont="1" applyFill="1" applyBorder="1" applyAlignment="1">
      <alignment horizontal="center" vertical="center" wrapText="1"/>
    </xf>
    <xf numFmtId="0" fontId="4" fillId="18" borderId="26" xfId="2" applyFill="1" applyBorder="1" applyAlignment="1">
      <alignment horizontal="center" vertical="center"/>
    </xf>
    <xf numFmtId="0" fontId="18" fillId="18" borderId="29" xfId="2" applyFont="1" applyFill="1" applyBorder="1" applyAlignment="1">
      <alignment horizontal="center" vertical="center"/>
    </xf>
    <xf numFmtId="0" fontId="4" fillId="18" borderId="28" xfId="2" applyFill="1" applyBorder="1" applyAlignment="1">
      <alignment horizontal="center" vertical="center"/>
    </xf>
    <xf numFmtId="0" fontId="4" fillId="18" borderId="29" xfId="2" applyFill="1" applyBorder="1" applyAlignment="1">
      <alignment horizontal="center" vertical="center"/>
    </xf>
    <xf numFmtId="0" fontId="24" fillId="18" borderId="29" xfId="2" applyFont="1" applyFill="1" applyBorder="1" applyAlignment="1">
      <alignment horizontal="center" vertical="center"/>
    </xf>
    <xf numFmtId="0" fontId="18" fillId="18" borderId="30" xfId="2" applyFont="1" applyFill="1" applyBorder="1" applyAlignment="1">
      <alignment horizontal="center" vertical="center"/>
    </xf>
    <xf numFmtId="0" fontId="4" fillId="18" borderId="31" xfId="2" applyFill="1" applyBorder="1" applyAlignment="1">
      <alignment horizontal="center" vertical="center"/>
    </xf>
    <xf numFmtId="0" fontId="18" fillId="18" borderId="31" xfId="2" applyFont="1" applyFill="1" applyBorder="1" applyAlignment="1">
      <alignment horizontal="center" vertical="center"/>
    </xf>
    <xf numFmtId="0" fontId="24" fillId="18" borderId="31" xfId="2" applyFont="1" applyFill="1" applyBorder="1" applyAlignment="1">
      <alignment horizontal="center" vertical="center"/>
    </xf>
    <xf numFmtId="0" fontId="20" fillId="18" borderId="31" xfId="2" applyFont="1" applyFill="1" applyBorder="1" applyAlignment="1">
      <alignment horizontal="center" vertical="center"/>
    </xf>
    <xf numFmtId="0" fontId="18" fillId="18" borderId="31" xfId="2" applyFont="1" applyFill="1" applyBorder="1" applyAlignment="1">
      <alignment horizontal="center" vertical="center" wrapText="1"/>
    </xf>
    <xf numFmtId="0" fontId="4" fillId="18" borderId="32" xfId="2" applyFill="1" applyBorder="1" applyAlignment="1">
      <alignment horizontal="center" vertical="center"/>
    </xf>
    <xf numFmtId="1" fontId="0" fillId="15" borderId="1" xfId="0" applyNumberFormat="1" applyFont="1" applyFill="1" applyBorder="1" applyAlignment="1" applyProtection="1">
      <alignment horizontal="center" vertical="center"/>
      <protection locked="0"/>
    </xf>
    <xf numFmtId="1" fontId="0" fillId="14" borderId="23" xfId="0" applyNumberFormat="1" applyFont="1" applyFill="1" applyBorder="1" applyAlignment="1" applyProtection="1">
      <alignment horizontal="center" vertical="center"/>
      <protection locked="0"/>
    </xf>
    <xf numFmtId="1" fontId="0" fillId="5" borderId="1" xfId="0" applyNumberFormat="1" applyFont="1" applyFill="1" applyBorder="1" applyAlignment="1" applyProtection="1">
      <alignment horizontal="center" vertical="center"/>
      <protection locked="0"/>
    </xf>
    <xf numFmtId="1" fontId="0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4" borderId="45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 applyProtection="1">
      <alignment horizontal="center" vertical="center"/>
      <protection locked="0"/>
    </xf>
    <xf numFmtId="1" fontId="0" fillId="5" borderId="23" xfId="0" applyNumberFormat="1" applyFont="1" applyFill="1" applyBorder="1" applyAlignment="1" applyProtection="1">
      <alignment horizontal="center" vertical="center"/>
      <protection locked="0"/>
    </xf>
    <xf numFmtId="1" fontId="0" fillId="5" borderId="38" xfId="0" applyNumberFormat="1" applyFont="1" applyFill="1" applyBorder="1" applyAlignment="1" applyProtection="1">
      <alignment horizontal="center" vertical="center"/>
      <protection locked="0"/>
    </xf>
    <xf numFmtId="1" fontId="0" fillId="4" borderId="23" xfId="0" applyNumberFormat="1" applyFont="1" applyFill="1" applyBorder="1" applyAlignment="1" applyProtection="1">
      <alignment horizontal="center" vertical="center"/>
      <protection locked="0"/>
    </xf>
    <xf numFmtId="0" fontId="39" fillId="3" borderId="23" xfId="3" applyFont="1" applyFill="1" applyBorder="1" applyAlignment="1">
      <alignment horizontal="center"/>
    </xf>
    <xf numFmtId="0" fontId="40" fillId="3" borderId="23" xfId="0" applyFont="1" applyFill="1" applyBorder="1" applyAlignment="1">
      <alignment horizontal="center"/>
    </xf>
    <xf numFmtId="0" fontId="42" fillId="3" borderId="23" xfId="3" applyFont="1" applyFill="1" applyBorder="1" applyAlignment="1">
      <alignment horizontal="center"/>
    </xf>
    <xf numFmtId="0" fontId="20" fillId="18" borderId="23" xfId="2" applyFont="1" applyFill="1" applyBorder="1" applyAlignment="1">
      <alignment horizontal="left" vertical="top" wrapText="1"/>
    </xf>
    <xf numFmtId="0" fontId="41" fillId="18" borderId="23" xfId="3" applyFont="1" applyFill="1" applyBorder="1" applyAlignment="1">
      <alignment horizontal="left" vertical="top" wrapText="1"/>
    </xf>
    <xf numFmtId="0" fontId="26" fillId="18" borderId="23" xfId="2" applyFont="1" applyFill="1" applyBorder="1" applyAlignment="1">
      <alignment horizontal="center"/>
    </xf>
    <xf numFmtId="0" fontId="27" fillId="18" borderId="23" xfId="2" applyFont="1" applyFill="1" applyBorder="1" applyAlignment="1">
      <alignment horizontal="center" vertical="top"/>
    </xf>
    <xf numFmtId="0" fontId="17" fillId="18" borderId="23" xfId="2" applyFont="1" applyFill="1" applyBorder="1" applyAlignment="1">
      <alignment horizontal="center" vertical="center" wrapText="1"/>
    </xf>
    <xf numFmtId="14" fontId="34" fillId="11" borderId="23" xfId="2" applyNumberFormat="1" applyFont="1" applyFill="1" applyBorder="1" applyAlignment="1" applyProtection="1">
      <alignment horizontal="center" vertical="center"/>
      <protection locked="0"/>
    </xf>
    <xf numFmtId="0" fontId="29" fillId="11" borderId="23" xfId="2" applyFont="1" applyFill="1" applyBorder="1" applyAlignment="1">
      <alignment horizontal="center" vertical="center"/>
    </xf>
    <xf numFmtId="0" fontId="17" fillId="18" borderId="23" xfId="2" applyFont="1" applyFill="1" applyBorder="1" applyAlignment="1">
      <alignment horizontal="right" vertical="center"/>
    </xf>
    <xf numFmtId="0" fontId="31" fillId="11" borderId="23" xfId="2" applyFont="1" applyFill="1" applyBorder="1" applyAlignment="1" applyProtection="1">
      <alignment horizontal="center" vertical="center"/>
      <protection locked="0"/>
    </xf>
    <xf numFmtId="0" fontId="20" fillId="18" borderId="23" xfId="2" applyFont="1" applyFill="1" applyBorder="1" applyAlignment="1">
      <alignment horizontal="left" vertical="center"/>
    </xf>
    <xf numFmtId="0" fontId="20" fillId="18" borderId="23" xfId="2" applyFont="1" applyFill="1" applyBorder="1" applyAlignment="1">
      <alignment horizontal="right" vertical="center"/>
    </xf>
    <xf numFmtId="16" fontId="18" fillId="11" borderId="23" xfId="2" quotePrefix="1" applyNumberFormat="1" applyFont="1" applyFill="1" applyBorder="1" applyAlignment="1" applyProtection="1">
      <alignment horizontal="center" vertical="center"/>
      <protection locked="0"/>
    </xf>
    <xf numFmtId="0" fontId="18" fillId="11" borderId="23" xfId="2" applyNumberFormat="1" applyFont="1" applyFill="1" applyBorder="1" applyAlignment="1" applyProtection="1">
      <alignment horizontal="center" vertical="center"/>
      <protection locked="0"/>
    </xf>
    <xf numFmtId="0" fontId="18" fillId="11" borderId="23" xfId="2" applyFont="1" applyFill="1" applyBorder="1" applyAlignment="1" applyProtection="1">
      <alignment horizontal="center" vertical="center"/>
      <protection locked="0"/>
    </xf>
    <xf numFmtId="0" fontId="16" fillId="12" borderId="23" xfId="2" applyFont="1" applyFill="1" applyBorder="1" applyAlignment="1">
      <alignment horizontal="center"/>
    </xf>
    <xf numFmtId="0" fontId="20" fillId="18" borderId="23" xfId="2" applyFont="1" applyFill="1" applyBorder="1" applyAlignment="1">
      <alignment horizontal="center" vertical="center"/>
    </xf>
    <xf numFmtId="0" fontId="29" fillId="11" borderId="23" xfId="2" applyFont="1" applyFill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>
      <alignment horizontal="center"/>
    </xf>
    <xf numFmtId="0" fontId="8" fillId="0" borderId="17" xfId="0" applyFont="1" applyBorder="1"/>
    <xf numFmtId="0" fontId="7" fillId="3" borderId="2" xfId="0" applyFont="1" applyFill="1" applyBorder="1" applyAlignment="1">
      <alignment horizontal="center"/>
    </xf>
    <xf numFmtId="0" fontId="8" fillId="0" borderId="3" xfId="0" applyFont="1" applyBorder="1"/>
    <xf numFmtId="164" fontId="9" fillId="7" borderId="5" xfId="0" applyNumberFormat="1" applyFont="1" applyFill="1" applyBorder="1" applyAlignment="1">
      <alignment horizontal="center" vertical="center"/>
    </xf>
    <xf numFmtId="164" fontId="8" fillId="0" borderId="6" xfId="0" applyNumberFormat="1" applyFont="1" applyBorder="1"/>
    <xf numFmtId="164" fontId="32" fillId="2" borderId="6" xfId="0" applyNumberFormat="1" applyFont="1" applyFill="1" applyBorder="1" applyAlignment="1">
      <alignment horizontal="center" vertical="center"/>
    </xf>
    <xf numFmtId="164" fontId="33" fillId="0" borderId="6" xfId="0" applyNumberFormat="1" applyFont="1" applyBorder="1"/>
    <xf numFmtId="164" fontId="10" fillId="2" borderId="5" xfId="0" applyNumberFormat="1" applyFont="1" applyFill="1" applyBorder="1" applyAlignment="1">
      <alignment horizontal="center" vertical="center"/>
    </xf>
    <xf numFmtId="164" fontId="11" fillId="7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Border="1"/>
    <xf numFmtId="164" fontId="32" fillId="2" borderId="5" xfId="0" applyNumberFormat="1" applyFont="1" applyFill="1" applyBorder="1" applyAlignment="1">
      <alignment horizontal="center" vertical="center"/>
    </xf>
    <xf numFmtId="164" fontId="11" fillId="7" borderId="47" xfId="0" applyNumberFormat="1" applyFont="1" applyFill="1" applyBorder="1" applyAlignment="1">
      <alignment horizontal="center" vertical="center"/>
    </xf>
    <xf numFmtId="164" fontId="11" fillId="7" borderId="21" xfId="0" applyNumberFormat="1" applyFont="1" applyFill="1" applyBorder="1" applyAlignment="1">
      <alignment horizontal="center" vertical="center"/>
    </xf>
    <xf numFmtId="164" fontId="11" fillId="7" borderId="48" xfId="0" applyNumberFormat="1" applyFont="1" applyFill="1" applyBorder="1" applyAlignment="1">
      <alignment horizontal="center" vertical="center"/>
    </xf>
    <xf numFmtId="164" fontId="32" fillId="7" borderId="7" xfId="0" applyNumberFormat="1" applyFont="1" applyFill="1" applyBorder="1" applyAlignment="1">
      <alignment horizontal="center" vertical="center"/>
    </xf>
    <xf numFmtId="164" fontId="33" fillId="0" borderId="8" xfId="0" applyNumberFormat="1" applyFont="1" applyBorder="1"/>
    <xf numFmtId="164" fontId="35" fillId="7" borderId="7" xfId="0" applyNumberFormat="1" applyFont="1" applyFill="1" applyBorder="1" applyAlignment="1">
      <alignment horizontal="center" vertical="center"/>
    </xf>
    <xf numFmtId="164" fontId="36" fillId="0" borderId="8" xfId="0" applyNumberFormat="1" applyFont="1" applyBorder="1"/>
    <xf numFmtId="164" fontId="37" fillId="0" borderId="8" xfId="0" applyNumberFormat="1" applyFont="1" applyBorder="1"/>
    <xf numFmtId="164" fontId="32" fillId="7" borderId="23" xfId="0" applyNumberFormat="1" applyFont="1" applyFill="1" applyBorder="1" applyAlignment="1">
      <alignment horizontal="center" vertical="center"/>
    </xf>
    <xf numFmtId="164" fontId="33" fillId="0" borderId="23" xfId="0" applyNumberFormat="1" applyFont="1" applyBorder="1"/>
  </cellXfs>
  <cellStyles count="4">
    <cellStyle name="Lien hypertexte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0</xdr:rowOff>
    </xdr:from>
    <xdr:ext cx="1200966" cy="1171575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0"/>
          <a:ext cx="1200966" cy="1171575"/>
        </a:xfrm>
        <a:prstGeom prst="rect">
          <a:avLst/>
        </a:prstGeom>
      </xdr:spPr>
    </xdr:pic>
    <xdr:clientData/>
  </xdr:oneCellAnchor>
  <xdr:oneCellAnchor>
    <xdr:from>
      <xdr:col>7</xdr:col>
      <xdr:colOff>933450</xdr:colOff>
      <xdr:row>0</xdr:row>
      <xdr:rowOff>0</xdr:rowOff>
    </xdr:from>
    <xdr:ext cx="1200966" cy="1171575"/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950" y="0"/>
          <a:ext cx="1200966" cy="11715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0</xdr:rowOff>
    </xdr:from>
    <xdr:ext cx="1200966" cy="1171575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0"/>
          <a:ext cx="1200966" cy="1171575"/>
        </a:xfrm>
        <a:prstGeom prst="rect">
          <a:avLst/>
        </a:prstGeom>
      </xdr:spPr>
    </xdr:pic>
    <xdr:clientData/>
  </xdr:oneCellAnchor>
  <xdr:oneCellAnchor>
    <xdr:from>
      <xdr:col>7</xdr:col>
      <xdr:colOff>933450</xdr:colOff>
      <xdr:row>0</xdr:row>
      <xdr:rowOff>0</xdr:rowOff>
    </xdr:from>
    <xdr:ext cx="1200966" cy="1171575"/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950" y="0"/>
          <a:ext cx="1200966" cy="11715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2</xdr:row>
      <xdr:rowOff>228600</xdr:rowOff>
    </xdr:from>
    <xdr:ext cx="1190625" cy="1190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609600"/>
          <a:ext cx="1190625" cy="1190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13</xdr:row>
      <xdr:rowOff>228600</xdr:rowOff>
    </xdr:from>
    <xdr:ext cx="1190625" cy="11906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752725"/>
          <a:ext cx="1190625" cy="11906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2</xdr:row>
      <xdr:rowOff>228600</xdr:rowOff>
    </xdr:from>
    <xdr:ext cx="1190625" cy="1190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13</xdr:row>
      <xdr:rowOff>228600</xdr:rowOff>
    </xdr:from>
    <xdr:ext cx="1190625" cy="11906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24</xdr:row>
      <xdr:rowOff>228600</xdr:rowOff>
    </xdr:from>
    <xdr:ext cx="1190625" cy="11906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35</xdr:row>
      <xdr:rowOff>228600</xdr:rowOff>
    </xdr:from>
    <xdr:ext cx="1190625" cy="119062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2</xdr:row>
      <xdr:rowOff>228600</xdr:rowOff>
    </xdr:from>
    <xdr:ext cx="1190625" cy="1190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609600"/>
          <a:ext cx="1190625" cy="1190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13</xdr:row>
      <xdr:rowOff>228600</xdr:rowOff>
    </xdr:from>
    <xdr:ext cx="1190625" cy="11906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752725"/>
          <a:ext cx="1190625" cy="1190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24</xdr:row>
      <xdr:rowOff>228600</xdr:rowOff>
    </xdr:from>
    <xdr:ext cx="1190625" cy="11906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4895850"/>
          <a:ext cx="1190625" cy="1190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35</xdr:row>
      <xdr:rowOff>228600</xdr:rowOff>
    </xdr:from>
    <xdr:ext cx="1190625" cy="119062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7038975"/>
          <a:ext cx="1190625" cy="11906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explore/tags/programmeiliade/" TargetMode="External"/><Relationship Id="rId2" Type="http://schemas.openxmlformats.org/officeDocument/2006/relationships/hyperlink" Target="https://www.atlascoaching.net/" TargetMode="External"/><Relationship Id="rId1" Type="http://schemas.openxmlformats.org/officeDocument/2006/relationships/hyperlink" Target="https://www.atlascoaching.net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tlascoaching.net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tlascoaching.net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tlascoaching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zoomScaleNormal="100" workbookViewId="0">
      <selection activeCell="C26" sqref="C26"/>
    </sheetView>
  </sheetViews>
  <sheetFormatPr baseColWidth="10" defaultColWidth="0" defaultRowHeight="15" customHeight="1" zeroHeight="1" x14ac:dyDescent="0.25"/>
  <cols>
    <col min="1" max="10" width="14.28515625" style="147" customWidth="1"/>
    <col min="11" max="11" width="11.42578125" style="28" hidden="1" customWidth="1"/>
    <col min="12" max="19" width="12.140625" style="28" hidden="1" customWidth="1"/>
    <col min="20" max="16384" width="11.42578125" style="28" hidden="1"/>
  </cols>
  <sheetData>
    <row r="1" spans="1:16" ht="15" customHeight="1" x14ac:dyDescent="0.25">
      <c r="A1" s="145"/>
      <c r="B1" s="145"/>
      <c r="C1" s="146"/>
      <c r="D1" s="194" t="s">
        <v>34</v>
      </c>
      <c r="E1" s="194"/>
      <c r="F1" s="194"/>
      <c r="G1" s="194"/>
      <c r="H1" s="145"/>
      <c r="I1" s="145"/>
    </row>
    <row r="2" spans="1:16" ht="15" customHeight="1" x14ac:dyDescent="0.25">
      <c r="A2" s="148"/>
      <c r="B2" s="149"/>
      <c r="C2" s="148"/>
      <c r="D2" s="194"/>
      <c r="E2" s="194"/>
      <c r="F2" s="194"/>
      <c r="G2" s="194"/>
      <c r="H2" s="148"/>
      <c r="I2" s="148"/>
    </row>
    <row r="3" spans="1:16" ht="15" customHeight="1" x14ac:dyDescent="0.25">
      <c r="A3" s="148"/>
      <c r="B3" s="149"/>
      <c r="C3" s="193" t="s">
        <v>33</v>
      </c>
      <c r="D3" s="193"/>
      <c r="E3" s="193"/>
      <c r="F3" s="193"/>
      <c r="G3" s="193"/>
      <c r="H3" s="193"/>
      <c r="I3" s="148"/>
      <c r="K3" s="29"/>
      <c r="L3" s="29"/>
    </row>
    <row r="4" spans="1:16" ht="15" customHeight="1" x14ac:dyDescent="0.25">
      <c r="A4" s="148"/>
      <c r="B4" s="149"/>
      <c r="C4" s="193"/>
      <c r="D4" s="193"/>
      <c r="E4" s="193"/>
      <c r="F4" s="193"/>
      <c r="G4" s="193"/>
      <c r="H4" s="193"/>
      <c r="I4" s="148"/>
      <c r="K4" s="30"/>
      <c r="L4" s="30"/>
    </row>
    <row r="5" spans="1:16" ht="15" customHeight="1" x14ac:dyDescent="0.25">
      <c r="A5" s="148"/>
      <c r="B5" s="149"/>
      <c r="C5" s="193"/>
      <c r="D5" s="193"/>
      <c r="E5" s="193"/>
      <c r="F5" s="193"/>
      <c r="G5" s="193"/>
      <c r="H5" s="193"/>
      <c r="I5" s="148"/>
    </row>
    <row r="6" spans="1:16" ht="15" customHeight="1" x14ac:dyDescent="0.25">
      <c r="A6" s="148"/>
      <c r="B6" s="149"/>
      <c r="C6" s="148"/>
      <c r="D6" s="148"/>
      <c r="E6" s="148"/>
      <c r="F6" s="148"/>
      <c r="G6" s="148"/>
      <c r="H6" s="148"/>
      <c r="I6" s="148"/>
    </row>
    <row r="7" spans="1:16" ht="15" customHeight="1" x14ac:dyDescent="0.25">
      <c r="A7" s="148"/>
      <c r="B7" s="149"/>
      <c r="C7" s="148"/>
      <c r="D7" s="148"/>
      <c r="E7" s="148"/>
      <c r="F7" s="148"/>
      <c r="G7" s="148"/>
      <c r="H7" s="148"/>
      <c r="I7" s="148"/>
    </row>
    <row r="8" spans="1:16" ht="22.5" customHeight="1" x14ac:dyDescent="0.25">
      <c r="A8" s="148"/>
      <c r="B8" s="150" t="s">
        <v>35</v>
      </c>
      <c r="C8" s="191" t="s">
        <v>95</v>
      </c>
      <c r="D8" s="191"/>
      <c r="E8" s="191"/>
      <c r="F8" s="191"/>
      <c r="G8" s="191"/>
      <c r="H8" s="191"/>
      <c r="I8" s="151"/>
    </row>
    <row r="9" spans="1:16" ht="15" customHeight="1" x14ac:dyDescent="0.25">
      <c r="A9" s="148"/>
      <c r="B9" s="150"/>
      <c r="C9" s="151"/>
      <c r="D9" s="151"/>
      <c r="E9" s="151"/>
      <c r="F9" s="151"/>
      <c r="G9" s="151"/>
      <c r="H9" s="151"/>
      <c r="I9" s="151"/>
    </row>
    <row r="10" spans="1:16" ht="22.5" customHeight="1" x14ac:dyDescent="0.25">
      <c r="A10" s="148"/>
      <c r="B10" s="150" t="s">
        <v>36</v>
      </c>
      <c r="C10" s="191" t="s">
        <v>91</v>
      </c>
      <c r="D10" s="191"/>
      <c r="E10" s="191"/>
      <c r="F10" s="191"/>
      <c r="G10" s="191"/>
      <c r="H10" s="191"/>
      <c r="I10" s="191"/>
    </row>
    <row r="11" spans="1:16" ht="15" customHeight="1" x14ac:dyDescent="0.25">
      <c r="A11" s="148"/>
      <c r="B11" s="149"/>
      <c r="C11" s="148"/>
      <c r="D11" s="152"/>
      <c r="E11" s="148"/>
      <c r="F11" s="145"/>
      <c r="G11" s="145"/>
      <c r="H11" s="148"/>
      <c r="I11" s="148"/>
      <c r="J11" s="153"/>
      <c r="K11" s="31"/>
      <c r="L11" s="31"/>
      <c r="M11" s="31"/>
      <c r="N11" s="31"/>
      <c r="O11" s="31"/>
      <c r="P11" s="31"/>
    </row>
    <row r="12" spans="1:16" ht="22.5" customHeight="1" x14ac:dyDescent="0.25">
      <c r="A12" s="148"/>
      <c r="B12" s="150" t="s">
        <v>37</v>
      </c>
      <c r="C12" s="191" t="s">
        <v>81</v>
      </c>
      <c r="D12" s="191"/>
      <c r="E12" s="191"/>
      <c r="F12" s="191"/>
      <c r="G12" s="191"/>
      <c r="H12" s="191"/>
      <c r="I12" s="191"/>
    </row>
    <row r="13" spans="1:16" ht="22.5" customHeight="1" x14ac:dyDescent="0.25">
      <c r="A13" s="148"/>
      <c r="B13" s="149"/>
      <c r="C13" s="191"/>
      <c r="D13" s="191"/>
      <c r="E13" s="191"/>
      <c r="F13" s="191"/>
      <c r="G13" s="191"/>
      <c r="H13" s="191"/>
      <c r="I13" s="191"/>
      <c r="J13" s="153"/>
      <c r="K13" s="49"/>
      <c r="L13" s="31"/>
      <c r="M13" s="31"/>
      <c r="N13" s="31"/>
      <c r="O13" s="31"/>
      <c r="P13" s="31"/>
    </row>
    <row r="14" spans="1:16" ht="15" customHeight="1" x14ac:dyDescent="0.25">
      <c r="A14" s="148"/>
      <c r="B14" s="149"/>
      <c r="C14" s="154"/>
      <c r="D14" s="154"/>
      <c r="E14" s="154"/>
      <c r="F14" s="154"/>
      <c r="G14" s="154"/>
      <c r="H14" s="154"/>
      <c r="I14" s="154"/>
      <c r="J14" s="153"/>
      <c r="K14" s="68"/>
      <c r="L14" s="31"/>
      <c r="M14" s="31"/>
      <c r="N14" s="31"/>
      <c r="O14" s="31"/>
      <c r="P14" s="31"/>
    </row>
    <row r="15" spans="1:16" ht="22.5" customHeight="1" x14ac:dyDescent="0.25">
      <c r="A15" s="148"/>
      <c r="B15" s="150" t="s">
        <v>38</v>
      </c>
      <c r="C15" s="191" t="s">
        <v>82</v>
      </c>
      <c r="D15" s="191"/>
      <c r="E15" s="191"/>
      <c r="F15" s="191"/>
      <c r="G15" s="191"/>
      <c r="H15" s="191"/>
      <c r="I15" s="191"/>
    </row>
    <row r="16" spans="1:16" ht="22.5" customHeight="1" x14ac:dyDescent="0.25">
      <c r="A16" s="148"/>
      <c r="B16" s="149"/>
      <c r="C16" s="191"/>
      <c r="D16" s="191"/>
      <c r="E16" s="191"/>
      <c r="F16" s="191"/>
      <c r="G16" s="191"/>
      <c r="H16" s="191"/>
      <c r="I16" s="191"/>
      <c r="J16" s="153"/>
      <c r="K16" s="31"/>
      <c r="L16" s="31"/>
      <c r="M16" s="31"/>
      <c r="N16" s="31"/>
      <c r="O16" s="31"/>
      <c r="P16" s="31"/>
    </row>
    <row r="17" spans="1:27" ht="15" customHeight="1" x14ac:dyDescent="0.25">
      <c r="A17" s="148"/>
      <c r="B17" s="153"/>
      <c r="C17" s="148"/>
      <c r="D17" s="152"/>
      <c r="E17" s="152"/>
      <c r="F17" s="152"/>
      <c r="G17" s="155"/>
      <c r="H17" s="155"/>
      <c r="I17" s="155"/>
      <c r="J17" s="153"/>
      <c r="K17" s="31"/>
      <c r="L17" s="31"/>
      <c r="M17" s="31"/>
      <c r="N17" s="31"/>
      <c r="O17" s="31"/>
      <c r="P17" s="31"/>
    </row>
    <row r="18" spans="1:27" ht="22.5" customHeight="1" x14ac:dyDescent="0.25">
      <c r="A18" s="148"/>
      <c r="B18" s="150" t="s">
        <v>83</v>
      </c>
      <c r="C18" s="191" t="s">
        <v>84</v>
      </c>
      <c r="D18" s="191"/>
      <c r="E18" s="191"/>
      <c r="F18" s="191"/>
      <c r="G18" s="191"/>
      <c r="H18" s="191"/>
      <c r="I18" s="191"/>
    </row>
    <row r="19" spans="1:27" ht="22.5" customHeight="1" x14ac:dyDescent="0.25">
      <c r="A19" s="148"/>
      <c r="B19" s="149"/>
      <c r="C19" s="191"/>
      <c r="D19" s="191"/>
      <c r="E19" s="191"/>
      <c r="F19" s="191"/>
      <c r="G19" s="191"/>
      <c r="H19" s="191"/>
      <c r="I19" s="191"/>
      <c r="J19" s="153"/>
      <c r="K19" s="31"/>
      <c r="L19" s="31"/>
      <c r="M19" s="31"/>
      <c r="N19" s="31"/>
      <c r="O19" s="31"/>
      <c r="P19" s="31"/>
    </row>
    <row r="20" spans="1:27" ht="15" customHeight="1" x14ac:dyDescent="0.25">
      <c r="A20" s="148"/>
      <c r="B20" s="149"/>
      <c r="C20" s="148"/>
      <c r="D20" s="152"/>
      <c r="E20" s="148"/>
      <c r="F20" s="148"/>
      <c r="G20" s="148"/>
      <c r="H20" s="148"/>
      <c r="I20" s="148"/>
      <c r="J20" s="153"/>
      <c r="K20" s="31"/>
      <c r="L20" s="31"/>
      <c r="M20" s="31"/>
      <c r="N20" s="31"/>
      <c r="O20" s="31"/>
      <c r="P20" s="31"/>
    </row>
    <row r="21" spans="1:27" ht="22.5" customHeight="1" x14ac:dyDescent="0.25">
      <c r="A21" s="148"/>
      <c r="B21" s="150" t="s">
        <v>85</v>
      </c>
      <c r="C21" s="191" t="s">
        <v>88</v>
      </c>
      <c r="D21" s="191"/>
      <c r="E21" s="191"/>
      <c r="F21" s="191"/>
      <c r="G21" s="191"/>
      <c r="H21" s="191"/>
      <c r="I21" s="191"/>
    </row>
    <row r="22" spans="1:27" ht="15" customHeight="1" x14ac:dyDescent="0.25">
      <c r="A22" s="148"/>
      <c r="B22" s="149"/>
      <c r="C22" s="154"/>
      <c r="D22" s="154"/>
      <c r="E22" s="154"/>
      <c r="F22" s="154"/>
      <c r="G22" s="154"/>
      <c r="H22" s="154"/>
      <c r="I22" s="154"/>
      <c r="J22" s="153"/>
      <c r="K22" s="31"/>
      <c r="L22" s="31"/>
      <c r="M22" s="31"/>
      <c r="N22" s="31"/>
      <c r="O22" s="31"/>
      <c r="P22" s="31"/>
    </row>
    <row r="23" spans="1:27" ht="22.5" customHeight="1" x14ac:dyDescent="0.25">
      <c r="A23" s="148"/>
      <c r="B23" s="150" t="s">
        <v>89</v>
      </c>
      <c r="C23" s="192" t="s">
        <v>96</v>
      </c>
      <c r="D23" s="192"/>
      <c r="E23" s="192"/>
      <c r="F23" s="192"/>
      <c r="G23" s="192"/>
      <c r="H23" s="192"/>
      <c r="I23" s="192"/>
    </row>
    <row r="24" spans="1:27" ht="15" customHeight="1" x14ac:dyDescent="0.2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31"/>
      <c r="L24" s="31"/>
      <c r="M24" s="31"/>
      <c r="N24" s="31"/>
      <c r="O24" s="31"/>
      <c r="P24" s="31"/>
    </row>
    <row r="25" spans="1:27" ht="15" customHeight="1" x14ac:dyDescent="0.25">
      <c r="A25" s="156"/>
      <c r="B25" s="157"/>
      <c r="C25" s="157"/>
      <c r="D25" s="157"/>
      <c r="E25" s="153"/>
      <c r="F25" s="153"/>
      <c r="G25" s="153"/>
      <c r="H25" s="153"/>
      <c r="I25" s="153"/>
      <c r="J25" s="153"/>
      <c r="K25" s="31"/>
      <c r="L25" s="31"/>
      <c r="M25" s="31"/>
      <c r="N25" s="31"/>
      <c r="O25" s="31"/>
      <c r="P25" s="31"/>
    </row>
    <row r="26" spans="1:27" ht="15" customHeight="1" x14ac:dyDescent="0.25">
      <c r="A26" s="153"/>
      <c r="B26" s="145"/>
      <c r="C26" s="145"/>
      <c r="D26" s="145"/>
      <c r="E26" s="145"/>
      <c r="F26" s="145"/>
      <c r="G26" s="153"/>
      <c r="H26" s="153"/>
      <c r="I26" s="153"/>
      <c r="J26" s="153"/>
      <c r="K26" s="34"/>
      <c r="L26" s="34"/>
      <c r="M26" s="34"/>
      <c r="N26" s="31"/>
      <c r="O26" s="31"/>
      <c r="P26" s="31"/>
    </row>
    <row r="27" spans="1:27" ht="15" customHeight="1" x14ac:dyDescent="0.3">
      <c r="A27" s="188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</row>
    <row r="28" spans="1:27" ht="15" customHeight="1" x14ac:dyDescent="0.35">
      <c r="A28" s="190" t="s">
        <v>90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</row>
    <row r="29" spans="1:27" ht="15" customHeight="1" x14ac:dyDescent="0.25">
      <c r="A29" s="153"/>
      <c r="B29" s="158"/>
      <c r="C29" s="158"/>
      <c r="D29" s="158"/>
      <c r="E29" s="153"/>
      <c r="F29" s="153"/>
      <c r="G29" s="153"/>
      <c r="H29" s="153"/>
      <c r="I29" s="153"/>
      <c r="J29" s="158"/>
      <c r="K29" s="50"/>
      <c r="L29" s="50"/>
      <c r="M29" s="50"/>
      <c r="N29" s="31"/>
      <c r="O29" s="31"/>
      <c r="P29" s="31"/>
    </row>
    <row r="30" spans="1:27" ht="15" customHeight="1" x14ac:dyDescent="0.2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31"/>
      <c r="L30" s="31"/>
      <c r="M30" s="31"/>
      <c r="N30" s="31"/>
      <c r="O30" s="31"/>
      <c r="P30" s="31"/>
    </row>
    <row r="31" spans="1:27" ht="15" customHeight="1" x14ac:dyDescent="0.2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31"/>
      <c r="L31" s="31"/>
      <c r="M31" s="31"/>
      <c r="N31" s="31"/>
      <c r="O31" s="31"/>
      <c r="P31" s="31"/>
    </row>
    <row r="32" spans="1:27" ht="15" hidden="1" customHeight="1" x14ac:dyDescent="0.2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31"/>
      <c r="L32" s="31"/>
      <c r="M32" s="31"/>
      <c r="N32" s="31"/>
      <c r="O32" s="31"/>
      <c r="P32" s="31"/>
    </row>
    <row r="33" spans="1:16" ht="15" hidden="1" customHeight="1" x14ac:dyDescent="0.25">
      <c r="A33" s="153"/>
      <c r="B33" s="156"/>
      <c r="C33" s="157"/>
      <c r="D33" s="157"/>
      <c r="E33" s="157"/>
      <c r="F33" s="157"/>
      <c r="G33" s="153"/>
      <c r="H33" s="153"/>
      <c r="I33" s="153"/>
      <c r="J33" s="153"/>
      <c r="K33" s="31"/>
      <c r="L33" s="31"/>
      <c r="M33" s="31"/>
      <c r="N33" s="31"/>
      <c r="O33" s="31"/>
      <c r="P33" s="31"/>
    </row>
    <row r="34" spans="1:16" ht="15" hidden="1" customHeight="1" x14ac:dyDescent="0.25">
      <c r="A34" s="153"/>
      <c r="B34" s="153"/>
      <c r="C34" s="157"/>
      <c r="D34" s="157"/>
      <c r="E34" s="157"/>
      <c r="F34" s="157"/>
      <c r="G34" s="153"/>
      <c r="H34" s="153"/>
      <c r="I34" s="153"/>
      <c r="J34" s="153"/>
      <c r="K34" s="31"/>
      <c r="L34" s="31"/>
      <c r="M34" s="31"/>
      <c r="N34" s="31"/>
      <c r="O34" s="31"/>
      <c r="P34" s="31"/>
    </row>
    <row r="35" spans="1:16" ht="15" hidden="1" customHeight="1" x14ac:dyDescent="0.25">
      <c r="A35" s="153"/>
      <c r="B35" s="153"/>
      <c r="C35" s="157"/>
      <c r="D35" s="157"/>
      <c r="E35" s="157"/>
      <c r="F35" s="157"/>
      <c r="G35" s="153"/>
      <c r="H35" s="153"/>
      <c r="I35" s="153"/>
      <c r="J35" s="153"/>
      <c r="K35" s="31"/>
      <c r="L35" s="31"/>
      <c r="M35" s="31"/>
      <c r="N35" s="31"/>
      <c r="O35" s="31"/>
      <c r="P35" s="31"/>
    </row>
    <row r="36" spans="1:16" ht="15" hidden="1" customHeight="1" x14ac:dyDescent="0.25">
      <c r="A36" s="153"/>
      <c r="B36" s="153"/>
      <c r="C36" s="157"/>
      <c r="D36" s="157"/>
      <c r="E36" s="157"/>
      <c r="F36" s="157"/>
      <c r="G36" s="153"/>
      <c r="H36" s="153"/>
      <c r="I36" s="153"/>
      <c r="J36" s="153"/>
      <c r="K36" s="31"/>
      <c r="L36" s="31"/>
      <c r="M36" s="31"/>
      <c r="N36" s="31"/>
      <c r="O36" s="31"/>
      <c r="P36" s="31"/>
    </row>
    <row r="37" spans="1:16" ht="15" hidden="1" customHeight="1" x14ac:dyDescent="0.25"/>
    <row r="38" spans="1:16" ht="15" hidden="1" customHeight="1" x14ac:dyDescent="0.25"/>
    <row r="39" spans="1:16" ht="15" hidden="1" customHeight="1" x14ac:dyDescent="0.25"/>
    <row r="40" spans="1:16" ht="15" hidden="1" customHeight="1" x14ac:dyDescent="0.25"/>
    <row r="41" spans="1:16" ht="15" hidden="1" customHeight="1" x14ac:dyDescent="0.25"/>
  </sheetData>
  <sheetProtection algorithmName="SHA-512" hashValue="DR2n9RSCycRfzn1aFdR27tnt1xfAAnHmEVzQhA2ffMlHf4dYniSV/9GAtoA8Yuevk/Ej6J25BO86A0EBlSiI9Q==" saltValue="06owZNlhD7H+Gsb8oK95aA==" spinCount="100000" sheet="1" objects="1" scenarios="1" selectLockedCells="1"/>
  <mergeCells count="11">
    <mergeCell ref="C3:H5"/>
    <mergeCell ref="D1:G2"/>
    <mergeCell ref="C12:I13"/>
    <mergeCell ref="C8:H8"/>
    <mergeCell ref="C10:I10"/>
    <mergeCell ref="A27:AA27"/>
    <mergeCell ref="A28:AA28"/>
    <mergeCell ref="C21:I21"/>
    <mergeCell ref="C23:I23"/>
    <mergeCell ref="C15:I16"/>
    <mergeCell ref="C18:I19"/>
  </mergeCells>
  <hyperlinks>
    <hyperlink ref="A28" r:id="rId1"/>
    <hyperlink ref="A28:AA28" r:id="rId2" display="https://www.atlascoaching.net"/>
    <hyperlink ref="C23:I23" r:id="rId3" display="Me tenir au courant de vos progrès et les poster sur le #PROGRAMMEILIADE .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7"/>
  <sheetViews>
    <sheetView tabSelected="1" zoomScale="90" zoomScaleNormal="90" workbookViewId="0">
      <selection activeCell="D8" sqref="D8"/>
    </sheetView>
  </sheetViews>
  <sheetFormatPr baseColWidth="10" defaultColWidth="0" defaultRowHeight="0" customHeight="1" zeroHeight="1" x14ac:dyDescent="0.25"/>
  <cols>
    <col min="1" max="10" width="14.28515625" style="147" customWidth="1"/>
    <col min="11" max="11" width="11.42578125" style="28" hidden="1" customWidth="1"/>
    <col min="12" max="19" width="12.140625" style="28" hidden="1" customWidth="1"/>
    <col min="20" max="16379" width="11.42578125" style="28" hidden="1"/>
    <col min="16380" max="16380" width="8.42578125" style="28" hidden="1" customWidth="1"/>
    <col min="16381" max="16381" width="16" style="28" hidden="1" customWidth="1"/>
    <col min="16382" max="16382" width="10.28515625" style="28" hidden="1" customWidth="1"/>
    <col min="16383" max="16384" width="13.28515625" style="28" hidden="1" customWidth="1"/>
  </cols>
  <sheetData>
    <row r="1" spans="1:16 16380:16384" ht="15" customHeight="1" x14ac:dyDescent="0.25">
      <c r="A1" s="145"/>
      <c r="B1" s="145"/>
      <c r="C1" s="146"/>
      <c r="D1" s="194" t="s">
        <v>34</v>
      </c>
      <c r="E1" s="194"/>
      <c r="F1" s="194"/>
      <c r="G1" s="194"/>
      <c r="H1" s="145"/>
      <c r="I1" s="145"/>
    </row>
    <row r="2" spans="1:16 16380:16384" ht="15" customHeight="1" x14ac:dyDescent="0.25">
      <c r="A2" s="148"/>
      <c r="B2" s="149"/>
      <c r="C2" s="148"/>
      <c r="D2" s="194"/>
      <c r="E2" s="194"/>
      <c r="F2" s="194"/>
      <c r="G2" s="194"/>
      <c r="H2" s="148"/>
      <c r="I2" s="148"/>
    </row>
    <row r="3" spans="1:16 16380:16384" ht="15" customHeight="1" x14ac:dyDescent="0.25">
      <c r="A3" s="148"/>
      <c r="B3" s="149"/>
      <c r="C3" s="193" t="s">
        <v>39</v>
      </c>
      <c r="D3" s="193"/>
      <c r="E3" s="193"/>
      <c r="F3" s="193"/>
      <c r="G3" s="193"/>
      <c r="H3" s="193"/>
      <c r="I3" s="148"/>
      <c r="K3" s="29"/>
      <c r="L3" s="29"/>
    </row>
    <row r="4" spans="1:16 16380:16384" ht="15" customHeight="1" x14ac:dyDescent="0.25">
      <c r="A4" s="148"/>
      <c r="B4" s="149"/>
      <c r="C4" s="193"/>
      <c r="D4" s="193"/>
      <c r="E4" s="193"/>
      <c r="F4" s="193"/>
      <c r="G4" s="193"/>
      <c r="H4" s="193"/>
      <c r="I4" s="148"/>
      <c r="K4" s="30"/>
      <c r="L4" s="30"/>
    </row>
    <row r="5" spans="1:16 16380:16384" ht="15" customHeight="1" x14ac:dyDescent="0.25">
      <c r="A5" s="148"/>
      <c r="B5" s="149"/>
      <c r="C5" s="193"/>
      <c r="D5" s="193"/>
      <c r="E5" s="193"/>
      <c r="F5" s="193"/>
      <c r="G5" s="193"/>
      <c r="H5" s="193"/>
      <c r="I5" s="148"/>
    </row>
    <row r="6" spans="1:16 16380:16384" ht="15" customHeight="1" x14ac:dyDescent="0.25">
      <c r="A6" s="148"/>
      <c r="B6" s="149"/>
      <c r="C6" s="148"/>
      <c r="D6" s="148"/>
      <c r="E6" s="148"/>
      <c r="F6" s="148"/>
      <c r="G6" s="148"/>
      <c r="H6" s="148"/>
      <c r="I6" s="148"/>
    </row>
    <row r="7" spans="1:16 16380:16384" ht="15" customHeight="1" x14ac:dyDescent="0.25">
      <c r="A7" s="148"/>
      <c r="B7" s="153"/>
      <c r="C7" s="148"/>
      <c r="D7" s="152"/>
      <c r="E7" s="152"/>
      <c r="F7" s="152"/>
      <c r="G7" s="155"/>
      <c r="H7" s="155"/>
      <c r="I7" s="155"/>
      <c r="J7" s="153"/>
      <c r="K7" s="31"/>
      <c r="L7" s="31"/>
      <c r="M7" s="31"/>
      <c r="N7" s="31"/>
      <c r="O7" s="31"/>
      <c r="P7" s="31"/>
      <c r="XEZ7" s="52" t="s">
        <v>51</v>
      </c>
      <c r="XFA7" s="31">
        <f>IF(D8="FEMME", 4, 2)</f>
        <v>2</v>
      </c>
      <c r="XFB7" s="31"/>
    </row>
    <row r="8" spans="1:16 16380:16384" ht="18.75" customHeight="1" x14ac:dyDescent="0.25">
      <c r="A8" s="148"/>
      <c r="B8" s="149"/>
      <c r="C8" s="152" t="s">
        <v>41</v>
      </c>
      <c r="D8" s="142"/>
      <c r="E8" s="148"/>
      <c r="F8" s="152" t="s">
        <v>29</v>
      </c>
      <c r="G8" s="142"/>
      <c r="H8" s="159" t="s">
        <v>43</v>
      </c>
      <c r="I8" s="148"/>
      <c r="J8" s="153"/>
      <c r="K8" s="31"/>
      <c r="L8" s="31"/>
      <c r="M8" s="31"/>
      <c r="N8" s="31"/>
      <c r="O8" s="31"/>
      <c r="P8" s="31"/>
      <c r="XEZ8" s="52" t="s">
        <v>52</v>
      </c>
      <c r="XFA8" s="31">
        <f>IF(G8&lt;25, 3, IF(G8&gt;39, 1, 2))</f>
        <v>3</v>
      </c>
      <c r="XFB8" s="31"/>
    </row>
    <row r="9" spans="1:16 16380:16384" ht="15" customHeight="1" x14ac:dyDescent="0.25">
      <c r="A9" s="148"/>
      <c r="B9" s="153"/>
      <c r="C9" s="152"/>
      <c r="D9" s="153"/>
      <c r="E9" s="153"/>
      <c r="F9" s="152"/>
      <c r="G9" s="145"/>
      <c r="H9" s="157"/>
      <c r="I9" s="153"/>
      <c r="J9" s="153"/>
      <c r="K9" s="31"/>
      <c r="L9" s="31"/>
      <c r="M9" s="31"/>
      <c r="N9" s="31"/>
      <c r="O9" s="31"/>
      <c r="P9" s="31"/>
      <c r="XEZ9" s="52" t="s">
        <v>53</v>
      </c>
      <c r="XFA9" s="31">
        <f>IF(D8="HOMME",IF(G10&lt;67, 3, IF(G10&gt;92, 1, 2)),IF(G10&lt;58, 3, IF(G10&gt;73, 1, 2)))</f>
        <v>3</v>
      </c>
      <c r="XFB9" s="138" t="s">
        <v>93</v>
      </c>
    </row>
    <row r="10" spans="1:16 16380:16384" ht="18.75" customHeight="1" x14ac:dyDescent="0.25">
      <c r="A10" s="148"/>
      <c r="B10" s="153"/>
      <c r="C10" s="152" t="s">
        <v>28</v>
      </c>
      <c r="D10" s="142"/>
      <c r="E10" s="159" t="s">
        <v>42</v>
      </c>
      <c r="F10" s="152" t="s">
        <v>30</v>
      </c>
      <c r="G10" s="142"/>
      <c r="H10" s="159" t="s">
        <v>44</v>
      </c>
      <c r="I10" s="153"/>
      <c r="J10" s="153"/>
      <c r="K10" s="31"/>
      <c r="L10" s="31"/>
      <c r="M10" s="31"/>
      <c r="N10" s="31"/>
      <c r="O10" s="31"/>
      <c r="P10" s="31"/>
      <c r="XEZ10" s="52" t="s">
        <v>54</v>
      </c>
      <c r="XFA10" s="31">
        <f>XFA7+XFA8+XFA9</f>
        <v>8</v>
      </c>
      <c r="XFB10" s="31">
        <f>IF($XFC$41="GOOD",$XFA$10,$XFA$10-1.5)</f>
        <v>8</v>
      </c>
    </row>
    <row r="11" spans="1:16 16380:16384" ht="15" customHeight="1" x14ac:dyDescent="0.25">
      <c r="A11" s="148"/>
      <c r="B11" s="149"/>
      <c r="C11" s="148"/>
      <c r="D11" s="152"/>
      <c r="E11" s="148"/>
      <c r="F11" s="148"/>
      <c r="G11" s="153"/>
      <c r="H11" s="153"/>
      <c r="I11" s="148"/>
      <c r="J11" s="153"/>
      <c r="K11" s="31"/>
      <c r="L11" s="31"/>
      <c r="M11" s="31"/>
      <c r="N11" s="31"/>
      <c r="O11" s="31"/>
      <c r="P11" s="31"/>
    </row>
    <row r="12" spans="1:16 16380:16384" ht="18.75" customHeight="1" x14ac:dyDescent="0.25">
      <c r="A12" s="148"/>
      <c r="B12" s="149"/>
      <c r="C12" s="148"/>
      <c r="D12" s="160" t="s">
        <v>46</v>
      </c>
      <c r="E12" s="148"/>
      <c r="F12" s="143">
        <v>2.5</v>
      </c>
      <c r="G12" s="159" t="s">
        <v>47</v>
      </c>
      <c r="H12" s="153"/>
      <c r="I12" s="148"/>
      <c r="J12" s="153"/>
      <c r="K12" s="31"/>
      <c r="L12" s="31"/>
      <c r="M12" s="31"/>
      <c r="N12" s="31"/>
      <c r="O12" s="31"/>
      <c r="P12" s="31"/>
    </row>
    <row r="13" spans="1:16 16380:16384" ht="18.75" customHeight="1" thickBot="1" x14ac:dyDescent="0.3">
      <c r="A13" s="148"/>
      <c r="B13" s="149"/>
      <c r="C13" s="148"/>
      <c r="D13" s="160"/>
      <c r="E13" s="148"/>
      <c r="F13" s="148"/>
      <c r="G13" s="153"/>
      <c r="H13" s="153"/>
      <c r="I13" s="148"/>
      <c r="J13" s="153"/>
      <c r="K13" s="31"/>
      <c r="L13" s="31"/>
      <c r="M13" s="31"/>
      <c r="N13" s="31"/>
      <c r="O13" s="31"/>
      <c r="P13" s="31"/>
      <c r="XFA13" s="205" t="s">
        <v>94</v>
      </c>
      <c r="XFB13" s="205"/>
      <c r="XFC13" s="205"/>
    </row>
    <row r="14" spans="1:16 16380:16384" ht="15" customHeight="1" x14ac:dyDescent="0.25">
      <c r="A14" s="161"/>
      <c r="B14" s="162"/>
      <c r="C14" s="162"/>
      <c r="D14" s="162"/>
      <c r="E14" s="162"/>
      <c r="F14" s="163"/>
      <c r="G14" s="164"/>
      <c r="H14" s="165"/>
      <c r="I14" s="162"/>
      <c r="J14" s="166"/>
      <c r="K14" s="31"/>
      <c r="L14" s="31"/>
      <c r="M14" s="31"/>
      <c r="N14" s="31"/>
      <c r="O14" s="31"/>
      <c r="P14" s="31"/>
    </row>
    <row r="15" spans="1:16 16380:16384" ht="15" customHeight="1" x14ac:dyDescent="0.25">
      <c r="A15" s="167"/>
      <c r="B15" s="197" t="s">
        <v>27</v>
      </c>
      <c r="C15" s="197"/>
      <c r="D15" s="198" t="s">
        <v>45</v>
      </c>
      <c r="E15" s="198"/>
      <c r="F15" s="199"/>
      <c r="G15" s="200" t="s">
        <v>40</v>
      </c>
      <c r="H15" s="145"/>
      <c r="I15" s="148"/>
      <c r="J15" s="168"/>
      <c r="K15" s="31"/>
      <c r="L15" s="31"/>
      <c r="M15" s="31"/>
      <c r="N15" s="31"/>
      <c r="O15" s="31"/>
      <c r="P15" s="31"/>
      <c r="XFB15" s="139">
        <f>AVERAGE((('Block 1'!$G$5*10*0.0333)+'Block 1'!$G$5),(('Block 1'!$G$16*9*0.0333)+'Block 1'!$G$16),(('Block 1'!$G$27*8*0.0333)+'Block 1'!$G$27),(('Block 1'!$G$38*7.5*0.0333)+'Block 1'!$G$38))</f>
        <v>0</v>
      </c>
      <c r="XFC15" s="139">
        <f>AVERAGE((('Block 1'!$S$5*7*0.0333)+'Block 1'!$S$5),(('Block 1'!$S$16*7*0.0333)+'Block 1'!$S$16),(('Block 1'!$S$27*6*0.0333)+'Block 1'!$S$27),(('Block 1'!$S$38*6*0.0333)+'Block 1'!$S$38))</f>
        <v>0</v>
      </c>
      <c r="XFD15" s="139">
        <f>AVERAGE((('Block 1'!$Y$27*5*0.0333)+'Block 1'!$Y$27),(('Block 1'!$Y$38*4*0.0333)+'Block 1'!$Y$38))</f>
        <v>0</v>
      </c>
    </row>
    <row r="16" spans="1:16 16380:16384" ht="15" customHeight="1" x14ac:dyDescent="0.25">
      <c r="A16" s="167"/>
      <c r="B16" s="197"/>
      <c r="C16" s="197"/>
      <c r="D16" s="198"/>
      <c r="E16" s="198"/>
      <c r="F16" s="199"/>
      <c r="G16" s="200"/>
      <c r="H16" s="148"/>
      <c r="I16" s="148"/>
      <c r="J16" s="168"/>
      <c r="K16" s="31"/>
      <c r="L16" s="31"/>
      <c r="M16" s="31"/>
      <c r="N16" s="31"/>
      <c r="O16" s="31"/>
      <c r="P16" s="31"/>
      <c r="XFB16" s="141">
        <f>AVERAGE($XFB$15,$XFC$15)</f>
        <v>0</v>
      </c>
      <c r="XFC16" s="140"/>
    </row>
    <row r="17" spans="1:16 16380:16383" ht="15" customHeight="1" x14ac:dyDescent="0.25">
      <c r="A17" s="169"/>
      <c r="B17" s="153"/>
      <c r="C17" s="153"/>
      <c r="D17" s="153"/>
      <c r="E17" s="153"/>
      <c r="F17" s="156"/>
      <c r="G17" s="153"/>
      <c r="H17" s="152"/>
      <c r="I17" s="153"/>
      <c r="J17" s="168"/>
      <c r="K17" s="31"/>
      <c r="L17" s="31"/>
      <c r="M17" s="31"/>
      <c r="N17" s="31"/>
      <c r="O17" s="31"/>
      <c r="P17" s="31"/>
    </row>
    <row r="18" spans="1:16 16380:16383" ht="15" customHeight="1" x14ac:dyDescent="0.25">
      <c r="A18" s="170"/>
      <c r="B18" s="157"/>
      <c r="C18" s="153"/>
      <c r="D18" s="157"/>
      <c r="E18" s="153"/>
      <c r="F18" s="153"/>
      <c r="G18" s="148"/>
      <c r="H18" s="153"/>
      <c r="I18" s="153"/>
      <c r="J18" s="168"/>
      <c r="K18" s="31"/>
      <c r="L18" s="31"/>
      <c r="M18" s="31"/>
      <c r="N18" s="31"/>
      <c r="O18" s="31"/>
      <c r="P18" s="31"/>
      <c r="XFC18" s="138" t="s">
        <v>92</v>
      </c>
    </row>
    <row r="19" spans="1:16 16380:16383" ht="18.75" customHeight="1" x14ac:dyDescent="0.25">
      <c r="A19" s="169"/>
      <c r="B19" s="201" t="s">
        <v>48</v>
      </c>
      <c r="C19" s="201"/>
      <c r="D19" s="201"/>
      <c r="E19" s="201"/>
      <c r="F19" s="204"/>
      <c r="G19" s="204"/>
      <c r="H19" s="204"/>
      <c r="I19" s="153"/>
      <c r="J19" s="168"/>
      <c r="K19" s="49"/>
      <c r="L19" s="49"/>
      <c r="M19" s="49"/>
      <c r="N19" s="31"/>
      <c r="O19" s="31"/>
      <c r="P19" s="31"/>
      <c r="XEZ19" s="51" t="s">
        <v>55</v>
      </c>
      <c r="XFA19" s="31" t="str">
        <f>IF(F19="Genoux qui rentrent","G",IF(F19="Bassin qui remonte en premier","GM",IF(F19="Haut du dos qui s'arrondit","HD","R")))</f>
        <v>R</v>
      </c>
      <c r="XFC19" s="31" t="str">
        <f>IF($XFB$16&gt;$XFD$15,"BAD","GOOD")</f>
        <v>GOOD</v>
      </c>
    </row>
    <row r="20" spans="1:16 16380:16383" ht="15" customHeight="1" x14ac:dyDescent="0.25">
      <c r="A20" s="169"/>
      <c r="B20" s="153"/>
      <c r="C20" s="153"/>
      <c r="F20" s="153"/>
      <c r="G20" s="153"/>
      <c r="H20" s="153"/>
      <c r="I20" s="153"/>
      <c r="J20" s="168"/>
      <c r="K20" s="31"/>
      <c r="L20" s="31"/>
      <c r="M20" s="31"/>
      <c r="N20" s="31"/>
      <c r="O20" s="31"/>
      <c r="P20" s="31"/>
      <c r="XEZ20" s="31"/>
      <c r="XFA20" s="31"/>
    </row>
    <row r="21" spans="1:16 16380:16383" ht="18.75" customHeight="1" x14ac:dyDescent="0.25">
      <c r="A21" s="169"/>
      <c r="B21" s="201" t="s">
        <v>49</v>
      </c>
      <c r="C21" s="201"/>
      <c r="D21" s="201"/>
      <c r="E21" s="201"/>
      <c r="F21" s="204"/>
      <c r="G21" s="204"/>
      <c r="H21" s="204"/>
      <c r="I21" s="153"/>
      <c r="J21" s="168"/>
      <c r="K21" s="32"/>
      <c r="L21" s="32"/>
      <c r="M21" s="32"/>
      <c r="N21" s="31"/>
      <c r="O21" s="31"/>
      <c r="P21" s="31"/>
      <c r="XEZ21" s="51" t="s">
        <v>56</v>
      </c>
      <c r="XFA21" s="31" t="str">
        <f>IF(F21="Tout en bas","Bas",IF(F21="Milieu de remontée","Milieu","Fin"))</f>
        <v>Fin</v>
      </c>
    </row>
    <row r="22" spans="1:16 16380:16383" ht="15" customHeight="1" x14ac:dyDescent="0.25">
      <c r="A22" s="167"/>
      <c r="B22" s="153"/>
      <c r="C22" s="148"/>
      <c r="D22" s="153"/>
      <c r="E22" s="153"/>
      <c r="F22" s="148"/>
      <c r="G22" s="153"/>
      <c r="H22" s="148"/>
      <c r="I22" s="148"/>
      <c r="J22" s="168"/>
      <c r="K22" s="31"/>
      <c r="L22" s="31"/>
      <c r="M22" s="31"/>
      <c r="N22" s="31"/>
      <c r="O22" s="31"/>
      <c r="P22" s="31"/>
      <c r="XEZ22" s="31"/>
      <c r="XFA22" s="31"/>
    </row>
    <row r="23" spans="1:16 16380:16383" ht="18.75" customHeight="1" x14ac:dyDescent="0.25">
      <c r="A23" s="167"/>
      <c r="B23" s="201" t="s">
        <v>68</v>
      </c>
      <c r="C23" s="201"/>
      <c r="D23" s="201"/>
      <c r="E23" s="201"/>
      <c r="F23" s="202"/>
      <c r="G23" s="203"/>
      <c r="H23" s="203"/>
      <c r="I23" s="148"/>
      <c r="J23" s="168"/>
      <c r="K23" s="31"/>
      <c r="L23" s="31"/>
      <c r="M23" s="31"/>
      <c r="N23" s="31"/>
      <c r="O23" s="31"/>
      <c r="P23" s="31"/>
      <c r="XEZ23" s="51" t="s">
        <v>59</v>
      </c>
      <c r="XFA23" s="31" t="str">
        <f>IF(F23="Fatigué très vite","1",IF(F23="Bonne récupération","3","2"))</f>
        <v>2</v>
      </c>
      <c r="XFB23" s="31">
        <f>$XFA$10*XFA23</f>
        <v>16</v>
      </c>
    </row>
    <row r="24" spans="1:16 16380:16383" ht="15" customHeight="1" thickBot="1" x14ac:dyDescent="0.3">
      <c r="A24" s="171"/>
      <c r="B24" s="172"/>
      <c r="C24" s="173"/>
      <c r="D24" s="172"/>
      <c r="E24" s="174"/>
      <c r="F24" s="175"/>
      <c r="G24" s="174"/>
      <c r="H24" s="176"/>
      <c r="I24" s="172"/>
      <c r="J24" s="177"/>
      <c r="K24" s="31"/>
      <c r="L24" s="31"/>
      <c r="M24" s="31"/>
      <c r="N24" s="31"/>
      <c r="O24" s="31"/>
      <c r="P24" s="31"/>
      <c r="XFB24" s="31"/>
    </row>
    <row r="25" spans="1:16 16380:16383" ht="15" customHeight="1" x14ac:dyDescent="0.25">
      <c r="A25" s="161"/>
      <c r="B25" s="162"/>
      <c r="C25" s="162"/>
      <c r="D25" s="162"/>
      <c r="E25" s="162"/>
      <c r="F25" s="163"/>
      <c r="G25" s="164"/>
      <c r="H25" s="165"/>
      <c r="I25" s="162"/>
      <c r="J25" s="166"/>
      <c r="K25" s="31"/>
      <c r="L25" s="31"/>
      <c r="M25" s="31"/>
      <c r="N25" s="31"/>
      <c r="O25" s="31"/>
      <c r="P25" s="31"/>
      <c r="XFB25" s="31"/>
    </row>
    <row r="26" spans="1:16 16380:16383" ht="15" customHeight="1" x14ac:dyDescent="0.25">
      <c r="A26" s="167"/>
      <c r="B26" s="197" t="s">
        <v>50</v>
      </c>
      <c r="C26" s="197"/>
      <c r="D26" s="198" t="s">
        <v>45</v>
      </c>
      <c r="E26" s="198"/>
      <c r="F26" s="199"/>
      <c r="G26" s="200" t="s">
        <v>40</v>
      </c>
      <c r="H26" s="145"/>
      <c r="I26" s="148"/>
      <c r="J26" s="168"/>
      <c r="K26" s="31"/>
      <c r="L26" s="31"/>
      <c r="M26" s="31"/>
      <c r="N26" s="31"/>
      <c r="O26" s="31"/>
      <c r="P26" s="31"/>
      <c r="XFB26" s="31"/>
    </row>
    <row r="27" spans="1:16 16380:16383" ht="15" customHeight="1" x14ac:dyDescent="0.25">
      <c r="A27" s="167"/>
      <c r="B27" s="197"/>
      <c r="C27" s="197"/>
      <c r="D27" s="198"/>
      <c r="E27" s="198"/>
      <c r="F27" s="199"/>
      <c r="G27" s="200"/>
      <c r="H27" s="148"/>
      <c r="I27" s="148"/>
      <c r="J27" s="168"/>
      <c r="K27" s="31"/>
      <c r="L27" s="31"/>
      <c r="M27" s="31"/>
      <c r="N27" s="31"/>
      <c r="O27" s="31"/>
      <c r="P27" s="31"/>
      <c r="XFB27" s="31"/>
    </row>
    <row r="28" spans="1:16 16380:16383" ht="15" customHeight="1" x14ac:dyDescent="0.25">
      <c r="A28" s="169"/>
      <c r="B28" s="153"/>
      <c r="C28" s="153"/>
      <c r="D28" s="153"/>
      <c r="E28" s="153"/>
      <c r="F28" s="156"/>
      <c r="G28" s="153"/>
      <c r="H28" s="152"/>
      <c r="I28" s="153"/>
      <c r="J28" s="168"/>
      <c r="K28" s="31"/>
      <c r="L28" s="31"/>
      <c r="M28" s="31"/>
      <c r="N28" s="31"/>
      <c r="O28" s="31"/>
      <c r="P28" s="31"/>
      <c r="XFB28" s="31"/>
    </row>
    <row r="29" spans="1:16 16380:16383" ht="15" customHeight="1" x14ac:dyDescent="0.25">
      <c r="A29" s="170"/>
      <c r="B29" s="157"/>
      <c r="C29" s="153"/>
      <c r="D29" s="157"/>
      <c r="E29" s="153"/>
      <c r="F29" s="153"/>
      <c r="G29" s="148"/>
      <c r="H29" s="153"/>
      <c r="I29" s="153"/>
      <c r="J29" s="168"/>
      <c r="K29" s="31"/>
      <c r="L29" s="31"/>
      <c r="M29" s="31"/>
      <c r="N29" s="31"/>
      <c r="O29" s="31"/>
      <c r="P29" s="31"/>
      <c r="XFB29" s="31"/>
      <c r="XFC29" s="119" t="s">
        <v>78</v>
      </c>
    </row>
    <row r="30" spans="1:16 16380:16383" ht="18.75" customHeight="1" x14ac:dyDescent="0.25">
      <c r="A30" s="169"/>
      <c r="B30" s="201" t="s">
        <v>48</v>
      </c>
      <c r="C30" s="201"/>
      <c r="D30" s="201"/>
      <c r="E30" s="201"/>
      <c r="F30" s="204"/>
      <c r="G30" s="204"/>
      <c r="H30" s="204"/>
      <c r="I30" s="153"/>
      <c r="J30" s="168"/>
      <c r="K30" s="49"/>
      <c r="L30" s="49"/>
      <c r="M30" s="49"/>
      <c r="N30" s="31"/>
      <c r="O30" s="31"/>
      <c r="P30" s="31"/>
      <c r="XEZ30" s="51" t="s">
        <v>58</v>
      </c>
      <c r="XFA30" s="31" t="str">
        <f>IF(F30="Pause instable","Pause",IF(F30="Mauvaise trajectoire","Traj","R"))</f>
        <v>R</v>
      </c>
      <c r="XFB30" s="31"/>
      <c r="XFC30" s="31" t="str">
        <f>IF((('Block 1'!$S$29)+('Block 1'!$S$40))&gt;(('Block 1'!$Y$31)+ ('Block 1'!$Y$42)),"BAD","GOOD")</f>
        <v>GOOD</v>
      </c>
    </row>
    <row r="31" spans="1:16 16380:16383" ht="15" customHeight="1" x14ac:dyDescent="0.25">
      <c r="A31" s="169"/>
      <c r="B31" s="153"/>
      <c r="C31" s="153"/>
      <c r="F31" s="153"/>
      <c r="G31" s="153"/>
      <c r="H31" s="153"/>
      <c r="I31" s="153"/>
      <c r="J31" s="168"/>
      <c r="K31" s="31"/>
      <c r="L31" s="31"/>
      <c r="M31" s="31"/>
      <c r="N31" s="31"/>
      <c r="O31" s="31"/>
      <c r="P31" s="31"/>
      <c r="XFB31" s="31"/>
    </row>
    <row r="32" spans="1:16 16380:16383" ht="18.75" customHeight="1" x14ac:dyDescent="0.25">
      <c r="A32" s="169"/>
      <c r="B32" s="201" t="s">
        <v>49</v>
      </c>
      <c r="C32" s="201"/>
      <c r="D32" s="201"/>
      <c r="E32" s="201"/>
      <c r="F32" s="204"/>
      <c r="G32" s="204"/>
      <c r="H32" s="204"/>
      <c r="I32" s="153"/>
      <c r="J32" s="168"/>
      <c r="K32" s="32"/>
      <c r="L32" s="32"/>
      <c r="M32" s="32"/>
      <c r="N32" s="31"/>
      <c r="O32" s="31"/>
      <c r="P32" s="31"/>
      <c r="XEZ32" s="51" t="s">
        <v>57</v>
      </c>
      <c r="XFA32" s="31" t="str">
        <f>IF(F32="Tout en bas","Bas",IF(F32="Milieu de remontée","Milieu","Fin"))</f>
        <v>Fin</v>
      </c>
      <c r="XFB32" s="31"/>
    </row>
    <row r="33" spans="1:16 16380:16384" ht="15" customHeight="1" x14ac:dyDescent="0.25">
      <c r="A33" s="167"/>
      <c r="B33" s="153"/>
      <c r="C33" s="148"/>
      <c r="D33" s="153"/>
      <c r="E33" s="153"/>
      <c r="F33" s="148"/>
      <c r="G33" s="153"/>
      <c r="H33" s="148"/>
      <c r="I33" s="148"/>
      <c r="J33" s="168"/>
      <c r="K33" s="31"/>
      <c r="L33" s="31"/>
      <c r="M33" s="31"/>
      <c r="N33" s="31"/>
      <c r="O33" s="31"/>
      <c r="P33" s="31"/>
      <c r="XFB33" s="31"/>
    </row>
    <row r="34" spans="1:16 16380:16384" ht="18.75" customHeight="1" x14ac:dyDescent="0.25">
      <c r="A34" s="167"/>
      <c r="B34" s="201" t="s">
        <v>68</v>
      </c>
      <c r="C34" s="201"/>
      <c r="D34" s="201"/>
      <c r="E34" s="201"/>
      <c r="F34" s="202"/>
      <c r="G34" s="203"/>
      <c r="H34" s="203"/>
      <c r="I34" s="148"/>
      <c r="J34" s="168"/>
      <c r="K34" s="31"/>
      <c r="L34" s="31"/>
      <c r="M34" s="31"/>
      <c r="N34" s="31"/>
      <c r="O34" s="31"/>
      <c r="P34" s="31"/>
      <c r="XEZ34" s="51" t="s">
        <v>60</v>
      </c>
      <c r="XFA34" s="31" t="str">
        <f>IF(F34="Fatigué très vite","1",IF(F34="Bonne récupération","3","2"))</f>
        <v>2</v>
      </c>
      <c r="XFB34" s="31">
        <f>$XFA$10*XFA34</f>
        <v>16</v>
      </c>
    </row>
    <row r="35" spans="1:16 16380:16384" ht="15" customHeight="1" thickBot="1" x14ac:dyDescent="0.3">
      <c r="A35" s="171"/>
      <c r="B35" s="172"/>
      <c r="C35" s="173"/>
      <c r="D35" s="172"/>
      <c r="E35" s="174"/>
      <c r="F35" s="175"/>
      <c r="G35" s="174"/>
      <c r="H35" s="176"/>
      <c r="I35" s="172"/>
      <c r="J35" s="177"/>
      <c r="K35" s="31"/>
      <c r="L35" s="31"/>
      <c r="M35" s="31"/>
      <c r="N35" s="31"/>
      <c r="O35" s="31"/>
      <c r="P35" s="31"/>
      <c r="XFB35" s="31"/>
    </row>
    <row r="36" spans="1:16 16380:16384" ht="15" customHeight="1" x14ac:dyDescent="0.25">
      <c r="A36" s="161"/>
      <c r="B36" s="162"/>
      <c r="C36" s="162"/>
      <c r="D36" s="162"/>
      <c r="E36" s="162"/>
      <c r="F36" s="163"/>
      <c r="G36" s="164"/>
      <c r="H36" s="165"/>
      <c r="I36" s="162"/>
      <c r="J36" s="166"/>
      <c r="K36" s="31"/>
      <c r="L36" s="31"/>
      <c r="M36" s="31"/>
      <c r="N36" s="31"/>
      <c r="O36" s="31"/>
      <c r="P36" s="31"/>
      <c r="XFB36" s="31"/>
    </row>
    <row r="37" spans="1:16 16380:16384" ht="15" customHeight="1" x14ac:dyDescent="0.25">
      <c r="A37" s="167"/>
      <c r="B37" s="207" t="s">
        <v>97</v>
      </c>
      <c r="C37" s="207"/>
      <c r="D37" s="198" t="s">
        <v>45</v>
      </c>
      <c r="E37" s="198"/>
      <c r="F37" s="199"/>
      <c r="G37" s="200" t="s">
        <v>40</v>
      </c>
      <c r="H37" s="145"/>
      <c r="I37" s="148"/>
      <c r="J37" s="168"/>
      <c r="K37" s="31"/>
      <c r="L37" s="31"/>
      <c r="M37" s="31"/>
      <c r="N37" s="31"/>
      <c r="O37" s="31"/>
      <c r="P37" s="31"/>
      <c r="XFB37" s="31"/>
    </row>
    <row r="38" spans="1:16 16380:16384" ht="15" customHeight="1" x14ac:dyDescent="0.25">
      <c r="A38" s="167"/>
      <c r="B38" s="207"/>
      <c r="C38" s="207"/>
      <c r="D38" s="198"/>
      <c r="E38" s="198"/>
      <c r="F38" s="199"/>
      <c r="G38" s="200"/>
      <c r="H38" s="148"/>
      <c r="I38" s="148"/>
      <c r="J38" s="168"/>
      <c r="K38" s="31"/>
      <c r="L38" s="31"/>
      <c r="M38" s="31"/>
      <c r="N38" s="31"/>
      <c r="O38" s="31"/>
      <c r="P38" s="31"/>
      <c r="XFB38" s="139">
        <f>AVERAGE((('Block 1'!$M$5*9*0.0333)+'Block 1'!$M$5),(('Block 1'!$M$16*8*0.0333)+'Block 1'!$M$16),(('Block 1'!$M$27*7*0.0333)+'Block 1'!$M$27),(('Block 1'!$M$38*6*0.0333)+'Block 1'!$M$38))</f>
        <v>0</v>
      </c>
      <c r="XFD38" s="139">
        <f>AVERAGE((('Block 1'!$Y$7*5.5*0.0333)+'Block 1'!$Y$7),(('Block 1'!$Y$18*5*0.0333)+'Block 1'!$Y$18),(('Block 1'!$Y$29*4.5*0.0333)+'Block 1'!$Y$29),(('Block 1'!$Y$40*4.5*0.0333)+'Block 1'!$Y$40))</f>
        <v>0</v>
      </c>
    </row>
    <row r="39" spans="1:16 16380:16384" ht="15" customHeight="1" x14ac:dyDescent="0.25">
      <c r="A39" s="169"/>
      <c r="B39" s="153"/>
      <c r="C39" s="153"/>
      <c r="D39" s="153"/>
      <c r="E39" s="153"/>
      <c r="F39" s="156"/>
      <c r="G39" s="153"/>
      <c r="H39" s="152"/>
      <c r="I39" s="153"/>
      <c r="J39" s="168"/>
      <c r="K39" s="31"/>
      <c r="L39" s="31"/>
      <c r="M39" s="31"/>
      <c r="N39" s="31"/>
      <c r="O39" s="31"/>
      <c r="P39" s="31"/>
      <c r="XFB39" s="141">
        <f>IF($B$37="SDT SUMO",$XFB$38*0.95,$XFB$38)</f>
        <v>0</v>
      </c>
    </row>
    <row r="40" spans="1:16 16380:16384" ht="15" customHeight="1" x14ac:dyDescent="0.25">
      <c r="A40" s="170"/>
      <c r="B40" s="157"/>
      <c r="C40" s="153"/>
      <c r="D40" s="157"/>
      <c r="E40" s="153"/>
      <c r="F40" s="153"/>
      <c r="G40" s="148"/>
      <c r="H40" s="153"/>
      <c r="I40" s="153"/>
      <c r="J40" s="168"/>
      <c r="K40" s="31"/>
      <c r="L40" s="31"/>
      <c r="M40" s="31"/>
      <c r="N40" s="31"/>
      <c r="O40" s="31"/>
      <c r="P40" s="31"/>
      <c r="XFB40" s="31"/>
      <c r="XFC40" s="119" t="s">
        <v>79</v>
      </c>
    </row>
    <row r="41" spans="1:16 16380:16384" ht="18.75" customHeight="1" x14ac:dyDescent="0.25">
      <c r="A41" s="169"/>
      <c r="B41" s="201" t="s">
        <v>48</v>
      </c>
      <c r="C41" s="201"/>
      <c r="D41" s="201"/>
      <c r="E41" s="201"/>
      <c r="F41" s="204"/>
      <c r="G41" s="204"/>
      <c r="H41" s="204"/>
      <c r="I41" s="153"/>
      <c r="J41" s="168"/>
      <c r="K41" s="49"/>
      <c r="L41" s="49"/>
      <c r="M41" s="49"/>
      <c r="N41" s="31"/>
      <c r="O41" s="31"/>
      <c r="P41" s="31"/>
      <c r="XEZ41" s="51" t="s">
        <v>63</v>
      </c>
      <c r="XFA41" s="31" t="str">
        <f>IF(F41="Bas du dos rond","Dos",IF(F41="Bassin qui remonte en premier","Bassin",IF(F41="Genoux qui rentrent","Genoux","R")))</f>
        <v>R</v>
      </c>
      <c r="XFB41" s="31"/>
      <c r="XFC41" s="31" t="str">
        <f>IF($XFB$39&gt;$XFD$38,"BAD","GOOD")</f>
        <v>GOOD</v>
      </c>
    </row>
    <row r="42" spans="1:16 16380:16384" ht="15" customHeight="1" x14ac:dyDescent="0.25">
      <c r="A42" s="169"/>
      <c r="B42" s="153"/>
      <c r="C42" s="153"/>
      <c r="F42" s="153"/>
      <c r="G42" s="153"/>
      <c r="H42" s="153"/>
      <c r="I42" s="153"/>
      <c r="J42" s="168"/>
      <c r="K42" s="31"/>
      <c r="L42" s="31"/>
      <c r="M42" s="31"/>
      <c r="N42" s="31"/>
      <c r="O42" s="31"/>
      <c r="P42" s="31"/>
      <c r="XFB42" s="31"/>
    </row>
    <row r="43" spans="1:16 16380:16384" ht="18.75" customHeight="1" x14ac:dyDescent="0.25">
      <c r="A43" s="169"/>
      <c r="B43" s="201" t="s">
        <v>49</v>
      </c>
      <c r="C43" s="201"/>
      <c r="D43" s="201"/>
      <c r="E43" s="201"/>
      <c r="F43" s="204"/>
      <c r="G43" s="204"/>
      <c r="H43" s="204"/>
      <c r="I43" s="153"/>
      <c r="J43" s="168"/>
      <c r="K43" s="32"/>
      <c r="L43" s="32"/>
      <c r="M43" s="32"/>
      <c r="N43" s="31"/>
      <c r="O43" s="31"/>
      <c r="P43" s="31"/>
      <c r="XEZ43" s="51" t="s">
        <v>62</v>
      </c>
      <c r="XFA43" s="31" t="str">
        <f>IF(F43="Tout en bas","Bas",IF(F43="Milieu de remontée","Milieu","Fin"))</f>
        <v>Fin</v>
      </c>
      <c r="XFB43" s="31"/>
    </row>
    <row r="44" spans="1:16 16380:16384" ht="15" customHeight="1" x14ac:dyDescent="0.25">
      <c r="A44" s="167"/>
      <c r="B44" s="153"/>
      <c r="C44" s="148"/>
      <c r="D44" s="153"/>
      <c r="E44" s="153"/>
      <c r="F44" s="148"/>
      <c r="G44" s="153"/>
      <c r="H44" s="148"/>
      <c r="I44" s="148"/>
      <c r="J44" s="168"/>
      <c r="K44" s="31"/>
      <c r="L44" s="31"/>
      <c r="M44" s="31"/>
      <c r="N44" s="31"/>
      <c r="O44" s="31"/>
      <c r="P44" s="31"/>
      <c r="XFB44" s="31"/>
    </row>
    <row r="45" spans="1:16 16380:16384" ht="18.75" customHeight="1" x14ac:dyDescent="0.25">
      <c r="A45" s="167"/>
      <c r="B45" s="201" t="s">
        <v>68</v>
      </c>
      <c r="C45" s="201"/>
      <c r="D45" s="201"/>
      <c r="E45" s="201"/>
      <c r="F45" s="202"/>
      <c r="G45" s="203"/>
      <c r="H45" s="203"/>
      <c r="I45" s="148"/>
      <c r="J45" s="168"/>
      <c r="K45" s="31"/>
      <c r="L45" s="31"/>
      <c r="M45" s="31"/>
      <c r="N45" s="31"/>
      <c r="O45" s="31"/>
      <c r="P45" s="31"/>
      <c r="XEZ45" s="51" t="s">
        <v>61</v>
      </c>
      <c r="XFA45" s="31" t="str">
        <f>IF(F45="Fatigué très vite","1",IF(F45="Bonne récupération","3","2"))</f>
        <v>2</v>
      </c>
      <c r="XFB45" s="31">
        <f>$XFA$10*$XFA$45</f>
        <v>16</v>
      </c>
    </row>
    <row r="46" spans="1:16 16380:16384" ht="15" customHeight="1" thickBot="1" x14ac:dyDescent="0.3">
      <c r="A46" s="171"/>
      <c r="B46" s="172"/>
      <c r="C46" s="173"/>
      <c r="D46" s="172"/>
      <c r="E46" s="174"/>
      <c r="F46" s="175"/>
      <c r="G46" s="174"/>
      <c r="H46" s="176"/>
      <c r="I46" s="172"/>
      <c r="J46" s="177"/>
      <c r="K46" s="31"/>
      <c r="L46" s="31"/>
      <c r="M46" s="31"/>
      <c r="N46" s="31"/>
      <c r="O46" s="31"/>
      <c r="P46" s="31"/>
      <c r="XFB46" s="31">
        <f>$XFB$10*$XFA$45</f>
        <v>16</v>
      </c>
    </row>
    <row r="47" spans="1:16 16380:16384" ht="15" customHeight="1" x14ac:dyDescent="0.25">
      <c r="A47" s="148"/>
      <c r="B47" s="153"/>
      <c r="C47" s="148"/>
      <c r="D47" s="153"/>
      <c r="E47" s="156"/>
      <c r="F47" s="145"/>
      <c r="G47" s="156"/>
      <c r="H47" s="157"/>
      <c r="I47" s="153"/>
      <c r="J47" s="153"/>
      <c r="K47" s="31"/>
      <c r="L47" s="31"/>
      <c r="M47" s="31"/>
      <c r="N47" s="31"/>
      <c r="O47" s="31"/>
      <c r="P47" s="31"/>
    </row>
    <row r="48" spans="1:16 16380:16384" ht="15" customHeight="1" x14ac:dyDescent="0.25">
      <c r="A48" s="153"/>
      <c r="B48" s="159"/>
      <c r="C48" s="153"/>
      <c r="D48" s="152"/>
      <c r="E48" s="153"/>
      <c r="F48" s="145"/>
      <c r="G48" s="153"/>
      <c r="H48" s="152"/>
      <c r="I48" s="153"/>
      <c r="J48" s="153"/>
      <c r="K48" s="31"/>
      <c r="L48" s="31"/>
      <c r="M48" s="31"/>
      <c r="N48" s="31"/>
      <c r="O48" s="31"/>
      <c r="P48" s="31"/>
    </row>
    <row r="49" spans="1:16 16380:16381" ht="18.75" customHeight="1" x14ac:dyDescent="0.25">
      <c r="A49" s="153"/>
      <c r="B49" s="206" t="s">
        <v>86</v>
      </c>
      <c r="C49" s="206"/>
      <c r="D49" s="206"/>
      <c r="E49" s="206"/>
      <c r="F49" s="206"/>
      <c r="G49" s="206"/>
      <c r="H49" s="144"/>
      <c r="I49" s="153"/>
      <c r="J49" s="153"/>
      <c r="K49" s="31"/>
      <c r="L49" s="31"/>
      <c r="M49" s="31"/>
      <c r="N49" s="31"/>
      <c r="O49" s="31"/>
      <c r="P49" s="31"/>
      <c r="XEZ49" s="51" t="s">
        <v>64</v>
      </c>
      <c r="XFA49" s="31" t="str">
        <f>IF(H49="Épaule(s)","Ep",IF(H49="Coude(s)","Coud",IF(H49="Poignet(s)","Poig",IF(H49="Bassin","Bass",IF(H49="Genou(x)","Genx",IF(H49="Bas du dos","Dos","Chev"))))))</f>
        <v>Chev</v>
      </c>
    </row>
    <row r="50" spans="1:16 16380:16381" ht="15" customHeight="1" x14ac:dyDescent="0.25">
      <c r="A50" s="153"/>
      <c r="B50" s="153"/>
      <c r="C50" s="148"/>
      <c r="D50" s="149"/>
      <c r="E50" s="153"/>
      <c r="F50" s="152"/>
      <c r="G50" s="148"/>
      <c r="H50" s="149"/>
      <c r="I50" s="153"/>
      <c r="J50" s="153"/>
      <c r="K50" s="31"/>
      <c r="L50" s="31"/>
      <c r="M50" s="31"/>
      <c r="N50" s="31"/>
      <c r="O50" s="31"/>
      <c r="P50" s="31"/>
    </row>
    <row r="51" spans="1:16 16380:16381" ht="19.5" customHeight="1" x14ac:dyDescent="0.25">
      <c r="A51" s="153"/>
      <c r="B51" s="195" t="s">
        <v>87</v>
      </c>
      <c r="C51" s="195"/>
      <c r="D51" s="195"/>
      <c r="E51" s="195"/>
      <c r="F51" s="195"/>
      <c r="G51" s="195"/>
      <c r="H51" s="196"/>
      <c r="I51" s="196"/>
      <c r="J51" s="153"/>
      <c r="K51" s="31"/>
      <c r="L51" s="31"/>
      <c r="M51" s="31"/>
      <c r="N51" s="31"/>
      <c r="O51" s="31"/>
      <c r="P51" s="31"/>
    </row>
    <row r="52" spans="1:16 16380:16381" ht="18" customHeight="1" x14ac:dyDescent="0.25">
      <c r="A52" s="153"/>
      <c r="B52" s="195"/>
      <c r="C52" s="195"/>
      <c r="D52" s="195"/>
      <c r="E52" s="195"/>
      <c r="F52" s="195"/>
      <c r="G52" s="195"/>
      <c r="H52" s="196"/>
      <c r="I52" s="196"/>
      <c r="J52" s="153"/>
      <c r="K52" s="31"/>
      <c r="L52" s="31"/>
      <c r="M52" s="31"/>
      <c r="N52" s="31"/>
      <c r="O52" s="31"/>
      <c r="P52" s="31"/>
    </row>
    <row r="53" spans="1:16 16380:16381" ht="15" customHeight="1" x14ac:dyDescent="0.25">
      <c r="A53" s="153"/>
      <c r="B53" s="153"/>
      <c r="C53" s="148"/>
      <c r="D53" s="153"/>
      <c r="E53" s="148"/>
      <c r="F53" s="153"/>
      <c r="G53" s="148"/>
      <c r="H53" s="153"/>
      <c r="I53" s="153"/>
      <c r="J53" s="153"/>
      <c r="K53" s="31"/>
      <c r="L53" s="31"/>
      <c r="M53" s="31"/>
      <c r="N53" s="31"/>
      <c r="O53" s="31"/>
      <c r="P53" s="31"/>
    </row>
    <row r="54" spans="1:16 16380:16381" ht="15" customHeight="1" x14ac:dyDescent="0.25">
      <c r="C54" s="145"/>
      <c r="D54" s="145"/>
      <c r="E54" s="148"/>
      <c r="F54" s="149"/>
      <c r="G54" s="145"/>
      <c r="H54" s="145"/>
    </row>
    <row r="55" spans="1:16 16380:16381" ht="15" hidden="1" customHeight="1" x14ac:dyDescent="0.25">
      <c r="E55" s="148"/>
      <c r="F55" s="153"/>
    </row>
    <row r="56" spans="1:16 16380:16381" ht="15" hidden="1" customHeight="1" x14ac:dyDescent="0.25">
      <c r="E56" s="145"/>
      <c r="F56" s="145"/>
    </row>
    <row r="57" spans="1:16 16380:16381" ht="15" hidden="1" customHeight="1" x14ac:dyDescent="0.25"/>
  </sheetData>
  <sheetProtection algorithmName="SHA-512" hashValue="UHzrOG+cmvmej/AmO+LAYGVL5yKwCzrsMh9Bw8neD6q5dQnuddPVH4jXWBVp+Tv3vjVBoe8tpmsI7Ep2wBouYA==" saltValue="hcBWotBbjKBsBUM2lwAXNw==" spinCount="100000" sheet="1" objects="1" scenarios="1" selectLockedCells="1"/>
  <mergeCells count="36">
    <mergeCell ref="XFA13:XFC13"/>
    <mergeCell ref="B49:G49"/>
    <mergeCell ref="B41:E41"/>
    <mergeCell ref="F41:H41"/>
    <mergeCell ref="B43:E43"/>
    <mergeCell ref="F43:H43"/>
    <mergeCell ref="B45:E45"/>
    <mergeCell ref="F45:H45"/>
    <mergeCell ref="B34:E34"/>
    <mergeCell ref="F34:H34"/>
    <mergeCell ref="B37:C38"/>
    <mergeCell ref="D37:E38"/>
    <mergeCell ref="F37:F38"/>
    <mergeCell ref="G37:G38"/>
    <mergeCell ref="D1:G2"/>
    <mergeCell ref="C3:H5"/>
    <mergeCell ref="F19:H19"/>
    <mergeCell ref="F21:H21"/>
    <mergeCell ref="B19:E19"/>
    <mergeCell ref="B21:E21"/>
    <mergeCell ref="B51:G52"/>
    <mergeCell ref="H51:I52"/>
    <mergeCell ref="B15:C16"/>
    <mergeCell ref="D15:E16"/>
    <mergeCell ref="F15:F16"/>
    <mergeCell ref="G15:G16"/>
    <mergeCell ref="B23:E23"/>
    <mergeCell ref="F23:H23"/>
    <mergeCell ref="B26:C27"/>
    <mergeCell ref="D26:E27"/>
    <mergeCell ref="F26:F27"/>
    <mergeCell ref="G26:G27"/>
    <mergeCell ref="B30:E30"/>
    <mergeCell ref="F30:H30"/>
    <mergeCell ref="B32:E32"/>
    <mergeCell ref="F32:H32"/>
  </mergeCells>
  <dataValidations count="9">
    <dataValidation type="list" allowBlank="1" showInputMessage="1" showErrorMessage="1" sqref="D8">
      <formula1>"HOMME,FEMME"</formula1>
    </dataValidation>
    <dataValidation type="list" allowBlank="1" showInputMessage="1" showErrorMessage="1" sqref="F12">
      <mc:AlternateContent xmlns:x12ac="http://schemas.microsoft.com/office/spreadsheetml/2011/1/ac" xmlns:mc="http://schemas.openxmlformats.org/markup-compatibility/2006">
        <mc:Choice Requires="x12ac">
          <x12ac:list>1,"2,5",5</x12ac:list>
        </mc:Choice>
        <mc:Fallback>
          <formula1>"1,2,5,5"</formula1>
        </mc:Fallback>
      </mc:AlternateContent>
    </dataValidation>
    <dataValidation type="list" allowBlank="1" showInputMessage="1" showErrorMessage="1" sqref="F19">
      <formula1>"Genoux qui rentrent,Bassin qui remonte en premier,Haut du dos qui s'arrondit,Rien de particulier"</formula1>
    </dataValidation>
    <dataValidation type="list" allowBlank="1" showInputMessage="1" showErrorMessage="1" sqref="F21 F32 F43">
      <formula1>"Tout en bas,Milieu de remontée,Fin de remontée"</formula1>
    </dataValidation>
    <dataValidation type="list" allowBlank="1" showInputMessage="1" showErrorMessage="1" sqref="F30:H30">
      <formula1>"Pause instable,Mauvaise trajectoire,Rien de particulier"</formula1>
    </dataValidation>
    <dataValidation type="list" allowBlank="1" showInputMessage="1" showErrorMessage="1" sqref="F23:H23 F34:H34 F45:H45">
      <formula1>"Fatigué très vite,Rien de spécial,Bonne récupération"</formula1>
    </dataValidation>
    <dataValidation type="list" allowBlank="1" showInputMessage="1" showErrorMessage="1" sqref="F41:H41">
      <formula1>"Bas du dos rond,Bassin qui remonte en premier,Genoux qui rentrent,Rien de particulier"</formula1>
    </dataValidation>
    <dataValidation type="list" allowBlank="1" showInputMessage="1" showErrorMessage="1" sqref="H49">
      <formula1>"Épaule(s),Coude(s),Poignet(s),Bassin,Genou(x),Cheville(s),Bas du dos"</formula1>
    </dataValidation>
    <dataValidation type="list" allowBlank="1" showInputMessage="1" showErrorMessage="1" sqref="B37:C38">
      <formula1>"SDT SUMO,SDT TRADI"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02"/>
  <sheetViews>
    <sheetView showGridLines="0" zoomScale="90" zoomScaleNormal="90" workbookViewId="0">
      <selection activeCell="G5" sqref="G5"/>
    </sheetView>
  </sheetViews>
  <sheetFormatPr baseColWidth="10" defaultColWidth="0" defaultRowHeight="0" customHeight="1" zeroHeight="1" x14ac:dyDescent="0.25"/>
  <cols>
    <col min="1" max="1" width="19.85546875" customWidth="1"/>
    <col min="2" max="2" width="0.7109375" customWidth="1"/>
    <col min="3" max="3" width="20" customWidth="1"/>
    <col min="4" max="5" width="7.85546875" customWidth="1"/>
    <col min="6" max="6" width="10" customWidth="1"/>
    <col min="7" max="7" width="8.5703125" customWidth="1"/>
    <col min="8" max="8" width="5.7109375" customWidth="1"/>
    <col min="9" max="9" width="21.85546875" customWidth="1"/>
    <col min="10" max="11" width="7.85546875" customWidth="1"/>
    <col min="12" max="12" width="10" customWidth="1"/>
    <col min="13" max="13" width="8.5703125" customWidth="1"/>
    <col min="14" max="14" width="0.42578125" customWidth="1"/>
    <col min="15" max="15" width="31.140625" customWidth="1"/>
    <col min="16" max="17" width="7.85546875" customWidth="1"/>
    <col min="18" max="18" width="10" customWidth="1"/>
    <col min="19" max="19" width="8.5703125" customWidth="1"/>
    <col min="20" max="20" width="5.7109375" customWidth="1"/>
    <col min="21" max="21" width="21.140625" customWidth="1"/>
    <col min="22" max="23" width="7.85546875" customWidth="1"/>
    <col min="24" max="24" width="10" customWidth="1"/>
    <col min="25" max="25" width="8.5703125" customWidth="1"/>
    <col min="26" max="26" width="5.7109375" customWidth="1"/>
    <col min="27" max="27" width="11.42578125" customWidth="1"/>
    <col min="28" max="31" width="0" hidden="1" customWidth="1"/>
    <col min="32" max="32" width="0.42578125" hidden="1" customWidth="1"/>
    <col min="33" max="33" width="20" hidden="1" customWidth="1"/>
    <col min="34" max="35" width="7.85546875" hidden="1" customWidth="1"/>
    <col min="36" max="36" width="10" hidden="1" customWidth="1"/>
    <col min="37" max="37" width="8.42578125" hidden="1" customWidth="1"/>
    <col min="38" max="38" width="5.7109375" hidden="1" customWidth="1"/>
    <col min="39" max="39" width="0" hidden="1" customWidth="1"/>
    <col min="40" max="40" width="20" hidden="1" customWidth="1"/>
    <col min="41" max="42" width="7.85546875" hidden="1" customWidth="1"/>
    <col min="43" max="43" width="10" hidden="1" customWidth="1"/>
    <col min="44" max="44" width="8.42578125" hidden="1" customWidth="1"/>
    <col min="45" max="45" width="5.7109375" hidden="1" customWidth="1"/>
    <col min="46" max="53" width="0" hidden="1" customWidth="1"/>
    <col min="54" max="16384" width="14.42578125" hidden="1"/>
  </cols>
  <sheetData>
    <row r="1" spans="1:27" ht="15" x14ac:dyDescent="0.25">
      <c r="A1" s="1"/>
      <c r="B1" s="1"/>
      <c r="C1" s="210"/>
      <c r="D1" s="211"/>
      <c r="E1" s="211"/>
      <c r="F1" s="211"/>
      <c r="G1" s="211"/>
      <c r="H1" s="1"/>
      <c r="I1" s="210"/>
      <c r="J1" s="211"/>
      <c r="K1" s="211"/>
      <c r="L1" s="211"/>
      <c r="M1" s="211"/>
      <c r="N1" s="1"/>
      <c r="O1" s="210"/>
      <c r="P1" s="211"/>
      <c r="Q1" s="211"/>
      <c r="R1" s="211"/>
      <c r="S1" s="211"/>
      <c r="T1" s="1"/>
      <c r="U1" s="210"/>
      <c r="V1" s="211"/>
      <c r="W1" s="211"/>
      <c r="X1" s="211"/>
      <c r="Y1" s="211"/>
      <c r="Z1" s="1"/>
      <c r="AA1" s="1"/>
    </row>
    <row r="2" spans="1:27" ht="15.75" thickBot="1" x14ac:dyDescent="0.3">
      <c r="A2" s="1"/>
      <c r="B2" s="1"/>
      <c r="C2" s="3"/>
      <c r="D2" s="3"/>
      <c r="E2" s="3"/>
      <c r="F2" s="3"/>
      <c r="G2" s="3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"/>
      <c r="U2" s="3"/>
      <c r="V2" s="3"/>
      <c r="W2" s="3"/>
      <c r="X2" s="3"/>
      <c r="Y2" s="3"/>
      <c r="Z2" s="1"/>
      <c r="AA2" s="1"/>
    </row>
    <row r="3" spans="1:27" ht="18.75" customHeight="1" x14ac:dyDescent="0.25">
      <c r="A3" s="1"/>
      <c r="B3" s="4"/>
      <c r="C3" s="212" t="s">
        <v>69</v>
      </c>
      <c r="D3" s="213"/>
      <c r="E3" s="213"/>
      <c r="F3" s="213"/>
      <c r="G3" s="213"/>
      <c r="H3" s="114"/>
      <c r="I3" s="214" t="s">
        <v>70</v>
      </c>
      <c r="J3" s="215"/>
      <c r="K3" s="215"/>
      <c r="L3" s="215"/>
      <c r="M3" s="215"/>
      <c r="N3" s="27"/>
      <c r="O3" s="216" t="s">
        <v>72</v>
      </c>
      <c r="P3" s="213"/>
      <c r="Q3" s="213"/>
      <c r="R3" s="213"/>
      <c r="S3" s="213"/>
      <c r="T3" s="114"/>
      <c r="U3" s="217" t="s">
        <v>74</v>
      </c>
      <c r="V3" s="218"/>
      <c r="W3" s="218"/>
      <c r="X3" s="218"/>
      <c r="Y3" s="218"/>
      <c r="Z3" s="114"/>
      <c r="AA3" s="1"/>
    </row>
    <row r="4" spans="1:27" ht="15" customHeight="1" x14ac:dyDescent="0.25">
      <c r="A4" s="1"/>
      <c r="B4" s="5"/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115"/>
      <c r="I4" s="63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2"/>
      <c r="O4" s="6" t="s">
        <v>4</v>
      </c>
      <c r="P4" s="7" t="s">
        <v>5</v>
      </c>
      <c r="Q4" s="7" t="s">
        <v>6</v>
      </c>
      <c r="R4" s="7" t="s">
        <v>7</v>
      </c>
      <c r="S4" s="7" t="s">
        <v>8</v>
      </c>
      <c r="T4" s="115"/>
      <c r="U4" s="6" t="s">
        <v>4</v>
      </c>
      <c r="V4" s="7" t="s">
        <v>5</v>
      </c>
      <c r="W4" s="7" t="s">
        <v>6</v>
      </c>
      <c r="X4" s="7" t="s">
        <v>7</v>
      </c>
      <c r="Y4" s="7" t="s">
        <v>8</v>
      </c>
      <c r="Z4" s="115"/>
      <c r="AA4" s="1"/>
    </row>
    <row r="5" spans="1:27" ht="15" customHeight="1" x14ac:dyDescent="0.25">
      <c r="A5" s="1"/>
      <c r="B5" s="5"/>
      <c r="C5" s="60" t="s">
        <v>0</v>
      </c>
      <c r="D5" s="57">
        <v>1</v>
      </c>
      <c r="E5" s="57">
        <v>4</v>
      </c>
      <c r="F5" s="61" t="s">
        <v>9</v>
      </c>
      <c r="G5" s="178"/>
      <c r="H5" s="116" t="s">
        <v>10</v>
      </c>
      <c r="I5" s="74" t="s">
        <v>2</v>
      </c>
      <c r="J5" s="57">
        <v>1</v>
      </c>
      <c r="K5" s="10">
        <v>3</v>
      </c>
      <c r="L5" s="10" t="s">
        <v>9</v>
      </c>
      <c r="M5" s="180"/>
      <c r="N5" s="2"/>
      <c r="O5" s="19"/>
      <c r="P5" s="10"/>
      <c r="Q5" s="10"/>
      <c r="R5" s="17"/>
      <c r="S5" s="127"/>
      <c r="T5" s="116" t="s">
        <v>10</v>
      </c>
      <c r="U5" s="9" t="s">
        <v>2</v>
      </c>
      <c r="V5" s="10">
        <v>1</v>
      </c>
      <c r="W5" s="10">
        <v>1</v>
      </c>
      <c r="X5" s="17" t="s">
        <v>9</v>
      </c>
      <c r="Y5" s="182"/>
      <c r="Z5" s="116" t="s">
        <v>10</v>
      </c>
      <c r="AA5" s="1"/>
    </row>
    <row r="6" spans="1:27" ht="15" customHeight="1" x14ac:dyDescent="0.25">
      <c r="A6" s="1"/>
      <c r="B6" s="5"/>
      <c r="C6" s="62"/>
      <c r="D6" s="57">
        <v>2</v>
      </c>
      <c r="E6" s="57">
        <v>8</v>
      </c>
      <c r="F6" s="22" t="str">
        <f>MROUND((0.7*Profil!$F$26),Profil!$F$12)&amp;"kg"</f>
        <v>0kg</v>
      </c>
      <c r="G6" s="129"/>
      <c r="H6" s="116" t="s">
        <v>11</v>
      </c>
      <c r="I6" s="64"/>
      <c r="J6" s="10">
        <v>3</v>
      </c>
      <c r="K6" s="10">
        <v>6</v>
      </c>
      <c r="L6" s="22" t="str">
        <f>MROUND((0.7*Profil!$F$15),Profil!$F$12)&amp;"kg"</f>
        <v>0kg</v>
      </c>
      <c r="M6" s="125"/>
      <c r="N6" s="2"/>
      <c r="O6" s="19"/>
      <c r="P6" s="10"/>
      <c r="Q6" s="10"/>
      <c r="R6" s="48"/>
      <c r="S6" s="133"/>
      <c r="T6" s="116" t="s">
        <v>11</v>
      </c>
      <c r="U6" s="9"/>
      <c r="V6" s="10">
        <v>3</v>
      </c>
      <c r="W6" s="10">
        <v>4</v>
      </c>
      <c r="X6" s="22" t="str">
        <f>MROUND((0.77*Profil!$F$15),Profil!$F$12)&amp;"kg"</f>
        <v>0kg</v>
      </c>
      <c r="Y6" s="131"/>
      <c r="Z6" s="116" t="s">
        <v>11</v>
      </c>
      <c r="AA6" s="1"/>
    </row>
    <row r="7" spans="1:27" ht="15" customHeight="1" x14ac:dyDescent="0.25">
      <c r="A7" s="1"/>
      <c r="B7" s="5"/>
      <c r="C7" s="35" t="s">
        <v>32</v>
      </c>
      <c r="D7" s="36">
        <v>1</v>
      </c>
      <c r="E7" s="36">
        <v>6</v>
      </c>
      <c r="F7" s="37" t="s">
        <v>12</v>
      </c>
      <c r="G7" s="179"/>
      <c r="H7" s="116" t="s">
        <v>13</v>
      </c>
      <c r="I7" s="92" t="s">
        <v>3</v>
      </c>
      <c r="J7" s="36">
        <v>3</v>
      </c>
      <c r="K7" s="36">
        <f>IF(Profil!$XFB$45&lt;20,5,6)</f>
        <v>5</v>
      </c>
      <c r="L7" s="24" t="str">
        <f>MROUND((0.7*Profil!$F$37),Profil!$F$12)&amp;"kg"</f>
        <v>0kg</v>
      </c>
      <c r="M7" s="126"/>
      <c r="N7" s="2"/>
      <c r="O7" s="21" t="s">
        <v>26</v>
      </c>
      <c r="P7" s="36">
        <v>1</v>
      </c>
      <c r="Q7" s="12">
        <v>1</v>
      </c>
      <c r="R7" s="18" t="s">
        <v>12</v>
      </c>
      <c r="S7" s="181"/>
      <c r="T7" s="116" t="s">
        <v>13</v>
      </c>
      <c r="U7" s="20" t="s">
        <v>3</v>
      </c>
      <c r="V7" s="12">
        <v>1</v>
      </c>
      <c r="W7" s="12">
        <v>1</v>
      </c>
      <c r="X7" s="18" t="s">
        <v>9</v>
      </c>
      <c r="Y7" s="183"/>
      <c r="Z7" s="116" t="s">
        <v>13</v>
      </c>
      <c r="AA7" s="1"/>
    </row>
    <row r="8" spans="1:27" ht="15" customHeight="1" x14ac:dyDescent="0.25">
      <c r="A8" s="1"/>
      <c r="B8" s="5"/>
      <c r="C8" s="38"/>
      <c r="D8" s="36">
        <v>2</v>
      </c>
      <c r="E8" s="36">
        <v>8</v>
      </c>
      <c r="F8" s="39">
        <v>-0.12</v>
      </c>
      <c r="G8" s="127"/>
      <c r="H8" s="116" t="s">
        <v>15</v>
      </c>
      <c r="I8" s="93"/>
      <c r="J8" s="24"/>
      <c r="K8" s="24"/>
      <c r="L8" s="24"/>
      <c r="M8" s="126"/>
      <c r="N8" s="2"/>
      <c r="O8" s="21" t="str">
        <f>IF(Profil!$XFA$30="Pause","",IF(Profil!$XFA$30="Traj","Tempo 4:1:4 Bench","Tshirt Pause Bench"))</f>
        <v>Tshirt Pause Bench</v>
      </c>
      <c r="P8" s="69" t="str">
        <f>IF(Profil!$XFA$30="Pause","3",IF(Profil!$XFA$30="Traj","2","2"))</f>
        <v>2</v>
      </c>
      <c r="Q8" s="69" t="str">
        <f>IF(Profil!$XFA$30="Pause","4",IF(Profil!$XFA$30="Traj","5","6"))</f>
        <v>6</v>
      </c>
      <c r="R8" s="69" t="str">
        <f>IF(Profil!$XFA$30="Pause",MROUND((0.77*Profil!$F$26),Profil!$F$12)&amp;"kg",IF(Profil!$XFA$30="Traj",MROUND((0.6*Profil!$F$26),Profil!$F$12)&amp;"kg",MROUND((0.73*Profil!$F$26),Profil!$F$12)&amp;"kg"))</f>
        <v>0kg</v>
      </c>
      <c r="S8" s="126"/>
      <c r="T8" s="116" t="s">
        <v>15</v>
      </c>
      <c r="U8" s="8"/>
      <c r="V8" s="12">
        <v>3</v>
      </c>
      <c r="W8" s="12">
        <v>3</v>
      </c>
      <c r="X8" s="24" t="str">
        <f>MROUND((0.78*Profil!$F$37),Profil!$F$12)&amp;"kg"</f>
        <v>0kg</v>
      </c>
      <c r="Y8" s="132"/>
      <c r="Z8" s="116" t="s">
        <v>15</v>
      </c>
      <c r="AA8" s="1"/>
    </row>
    <row r="9" spans="1:27" ht="15" customHeight="1" x14ac:dyDescent="0.25">
      <c r="A9" s="1"/>
      <c r="B9" s="5"/>
      <c r="C9" s="9" t="s">
        <v>1</v>
      </c>
      <c r="D9" s="10">
        <v>3</v>
      </c>
      <c r="E9" s="10">
        <v>10</v>
      </c>
      <c r="F9" s="17" t="s">
        <v>12</v>
      </c>
      <c r="G9" s="128"/>
      <c r="H9" s="116" t="s">
        <v>17</v>
      </c>
      <c r="I9" s="111" t="s">
        <v>65</v>
      </c>
      <c r="J9" s="45">
        <v>3</v>
      </c>
      <c r="K9" s="46" t="s">
        <v>16</v>
      </c>
      <c r="L9" s="47"/>
      <c r="M9" s="126"/>
      <c r="N9" s="2"/>
      <c r="O9" s="19" t="s">
        <v>80</v>
      </c>
      <c r="P9" s="10">
        <v>3</v>
      </c>
      <c r="Q9" s="10">
        <v>10</v>
      </c>
      <c r="R9" s="17" t="s">
        <v>12</v>
      </c>
      <c r="S9" s="126"/>
      <c r="T9" s="116" t="s">
        <v>17</v>
      </c>
      <c r="U9" s="9" t="s">
        <v>0</v>
      </c>
      <c r="V9" s="10">
        <v>1</v>
      </c>
      <c r="W9" s="10">
        <v>2</v>
      </c>
      <c r="X9" s="17" t="s">
        <v>14</v>
      </c>
      <c r="Y9" s="184"/>
      <c r="Z9" s="116" t="s">
        <v>17</v>
      </c>
      <c r="AA9" s="1"/>
    </row>
    <row r="10" spans="1:27" ht="15" customHeight="1" x14ac:dyDescent="0.25">
      <c r="A10" s="208" t="s">
        <v>18</v>
      </c>
      <c r="B10" s="5"/>
      <c r="C10" s="20" t="s">
        <v>67</v>
      </c>
      <c r="D10" s="12">
        <v>3</v>
      </c>
      <c r="E10" s="12">
        <v>10</v>
      </c>
      <c r="F10" s="18" t="s">
        <v>12</v>
      </c>
      <c r="G10" s="128"/>
      <c r="H10" s="115"/>
      <c r="I10" s="112" t="s">
        <v>22</v>
      </c>
      <c r="J10" s="53">
        <v>3</v>
      </c>
      <c r="K10" s="54" t="s">
        <v>16</v>
      </c>
      <c r="L10" s="55"/>
      <c r="M10" s="126"/>
      <c r="N10" s="1"/>
      <c r="O10" s="20" t="str">
        <f>IF(Profil!$XFA$49="Dos","Bird Dog",IF(Profil!$XFA$49="Ep","Reverse KB Press",IF(Profil!$XFA$49="Coud","Extension nuque élastique",IF(Profil!$XFA$49="Poig","Extension poignets",IF(Profil!$XFA$49="Bass","One Leg RDL",IF(Profil!$XFA$49="Genx","Nordic Leg Curl","Flexions de cheville"))))))</f>
        <v>Flexions de cheville</v>
      </c>
      <c r="P10" s="12">
        <v>3</v>
      </c>
      <c r="Q10" s="12">
        <v>15</v>
      </c>
      <c r="R10" s="12"/>
      <c r="S10" s="126"/>
      <c r="T10" s="115"/>
      <c r="U10" s="9"/>
      <c r="V10" s="10">
        <v>4</v>
      </c>
      <c r="W10" s="10">
        <v>4</v>
      </c>
      <c r="X10" s="11">
        <v>-0.12</v>
      </c>
      <c r="Y10" s="128"/>
      <c r="Z10" s="115"/>
      <c r="AA10" s="1"/>
    </row>
    <row r="11" spans="1:27" ht="15" customHeight="1" thickBot="1" x14ac:dyDescent="0.3">
      <c r="A11" s="209"/>
      <c r="B11" s="5"/>
      <c r="C11" s="40" t="s">
        <v>19</v>
      </c>
      <c r="D11" s="41">
        <v>3</v>
      </c>
      <c r="E11" s="42" t="s">
        <v>20</v>
      </c>
      <c r="F11" s="41"/>
      <c r="G11" s="128"/>
      <c r="H11" s="117"/>
      <c r="I11" s="118" t="s">
        <v>66</v>
      </c>
      <c r="J11" s="57">
        <v>3</v>
      </c>
      <c r="K11" s="58"/>
      <c r="L11" s="59"/>
      <c r="M11" s="126"/>
      <c r="N11" s="2"/>
      <c r="O11" s="13" t="s">
        <v>21</v>
      </c>
      <c r="P11" s="14">
        <v>3</v>
      </c>
      <c r="Q11" s="15"/>
      <c r="R11" s="14"/>
      <c r="S11" s="126"/>
      <c r="T11" s="117"/>
      <c r="U11" s="70" t="str">
        <f>IF(Profil!$XFA$32="Bas","2ct Low Pin Press",IF(Profil!$XFA$30="Milieu","Larsen Press","Close Grip Bench"))</f>
        <v>Close Grip Bench</v>
      </c>
      <c r="V11" s="22">
        <v>2</v>
      </c>
      <c r="W11" s="71">
        <f>IF(Profil!$XFA$32="Bas",5,7)</f>
        <v>7</v>
      </c>
      <c r="X11" s="67" t="str">
        <f>IF(Profil!$XFA$32="Bas",MROUND((0.67*Profil!$F$26),Profil!$F$12)&amp;"kg",MROUND((0.65*Profil!$F$26),Profil!$F$12)&amp;"kg")</f>
        <v>0kg</v>
      </c>
      <c r="Y11" s="128"/>
      <c r="Z11" s="117"/>
      <c r="AA11" s="1"/>
    </row>
    <row r="12" spans="1:27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 customHeight="1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.75" customHeight="1" x14ac:dyDescent="0.25">
      <c r="A14" s="1"/>
      <c r="B14" s="4"/>
      <c r="C14" s="212" t="s">
        <v>75</v>
      </c>
      <c r="D14" s="213"/>
      <c r="E14" s="213"/>
      <c r="F14" s="213"/>
      <c r="G14" s="213"/>
      <c r="H14" s="114"/>
      <c r="I14" s="219" t="s">
        <v>71</v>
      </c>
      <c r="J14" s="215"/>
      <c r="K14" s="215"/>
      <c r="L14" s="215"/>
      <c r="M14" s="215"/>
      <c r="N14" s="27"/>
      <c r="O14" s="216" t="s">
        <v>73</v>
      </c>
      <c r="P14" s="213"/>
      <c r="Q14" s="213"/>
      <c r="R14" s="213"/>
      <c r="S14" s="213"/>
      <c r="T14" s="114"/>
      <c r="U14" s="220" t="s">
        <v>76</v>
      </c>
      <c r="V14" s="221"/>
      <c r="W14" s="221"/>
      <c r="X14" s="221"/>
      <c r="Y14" s="222"/>
      <c r="Z14" s="114"/>
      <c r="AA14" s="1"/>
    </row>
    <row r="15" spans="1:27" ht="15" customHeight="1" x14ac:dyDescent="0.25">
      <c r="A15" s="1"/>
      <c r="B15" s="5"/>
      <c r="C15" s="6" t="s">
        <v>4</v>
      </c>
      <c r="D15" s="7" t="s">
        <v>5</v>
      </c>
      <c r="E15" s="7" t="s">
        <v>6</v>
      </c>
      <c r="F15" s="7" t="s">
        <v>7</v>
      </c>
      <c r="G15" s="7" t="s">
        <v>8</v>
      </c>
      <c r="H15" s="115"/>
      <c r="I15" s="6" t="s">
        <v>4</v>
      </c>
      <c r="J15" s="7" t="s">
        <v>5</v>
      </c>
      <c r="K15" s="16" t="s">
        <v>6</v>
      </c>
      <c r="L15" s="7" t="s">
        <v>7</v>
      </c>
      <c r="M15" s="7" t="s">
        <v>8</v>
      </c>
      <c r="N15" s="2"/>
      <c r="O15" s="6" t="s">
        <v>4</v>
      </c>
      <c r="P15" s="7" t="s">
        <v>5</v>
      </c>
      <c r="Q15" s="7" t="s">
        <v>6</v>
      </c>
      <c r="R15" s="7" t="s">
        <v>7</v>
      </c>
      <c r="S15" s="7" t="s">
        <v>8</v>
      </c>
      <c r="T15" s="115"/>
      <c r="U15" s="6" t="s">
        <v>4</v>
      </c>
      <c r="V15" s="7" t="s">
        <v>5</v>
      </c>
      <c r="W15" s="7" t="s">
        <v>6</v>
      </c>
      <c r="X15" s="7" t="s">
        <v>7</v>
      </c>
      <c r="Y15" s="7" t="s">
        <v>8</v>
      </c>
      <c r="Z15" s="115"/>
      <c r="AA15" s="1"/>
    </row>
    <row r="16" spans="1:27" ht="15" customHeight="1" x14ac:dyDescent="0.25">
      <c r="A16" s="1"/>
      <c r="B16" s="5"/>
      <c r="C16" s="19" t="s">
        <v>2</v>
      </c>
      <c r="D16" s="57">
        <v>1</v>
      </c>
      <c r="E16" s="10">
        <v>3</v>
      </c>
      <c r="F16" s="17" t="s">
        <v>12</v>
      </c>
      <c r="G16" s="180"/>
      <c r="H16" s="116" t="s">
        <v>10</v>
      </c>
      <c r="I16" s="19" t="s">
        <v>3</v>
      </c>
      <c r="J16" s="57">
        <v>1</v>
      </c>
      <c r="K16" s="10">
        <v>3</v>
      </c>
      <c r="L16" s="10" t="s">
        <v>9</v>
      </c>
      <c r="M16" s="180"/>
      <c r="N16" s="2"/>
      <c r="O16" s="19" t="str">
        <f>IF(Profil!$XFA$19="G","Tempo 2:1:2 Squat",IF(Profil!$XFA$19="GM","Tempo 2:1:0 HB Squat",IF(Profil!$XFA$19="HD","Pause HB Squat",IF(Profil!$XFA$21="Bas","Pause Squat",IF(Profil!$XFA$21="Milieu","Tempo 3:0:0 Squat","Comp Squat")))))</f>
        <v>Comp Squat</v>
      </c>
      <c r="P16" s="57">
        <v>1</v>
      </c>
      <c r="Q16" s="10">
        <v>3</v>
      </c>
      <c r="R16" s="17" t="s">
        <v>9</v>
      </c>
      <c r="S16" s="180"/>
      <c r="T16" s="116" t="s">
        <v>10</v>
      </c>
      <c r="U16" s="9" t="s">
        <v>2</v>
      </c>
      <c r="V16" s="10">
        <v>1</v>
      </c>
      <c r="W16" s="10">
        <v>1</v>
      </c>
      <c r="X16" s="17" t="s">
        <v>12</v>
      </c>
      <c r="Y16" s="182"/>
      <c r="Z16" s="116" t="s">
        <v>10</v>
      </c>
      <c r="AA16" s="1"/>
    </row>
    <row r="17" spans="1:27" ht="15" customHeight="1" x14ac:dyDescent="0.25">
      <c r="A17" s="1"/>
      <c r="B17" s="5"/>
      <c r="C17" s="9"/>
      <c r="D17" s="33">
        <v>3</v>
      </c>
      <c r="E17" s="10">
        <v>5</v>
      </c>
      <c r="F17" s="22" t="str">
        <f>MROUND((0.725*Profil!$F$15),Profil!$F$12)&amp;"kg"</f>
        <v>0kg</v>
      </c>
      <c r="G17" s="129"/>
      <c r="H17" s="116" t="s">
        <v>11</v>
      </c>
      <c r="I17" s="9"/>
      <c r="J17" s="10">
        <v>2</v>
      </c>
      <c r="K17" s="57">
        <f>IF(Profil!$XFB$45&lt;20,5,6)</f>
        <v>5</v>
      </c>
      <c r="L17" s="22" t="str">
        <f>MROUND((0.72*Profil!$F$37),Profil!$F$12)&amp;"kg"</f>
        <v>0kg</v>
      </c>
      <c r="M17" s="125"/>
      <c r="N17" s="2"/>
      <c r="O17" s="19" t="str">
        <f>IF(Profil!$XFA$19="G","(Contrôle genoux)",IF(Profil!$XFA$19="GM","(Reste vertical sur poussée)",IF(Profil!$XFA$19="HD","Frontsquat",IF(Profil!$XFA$21="Bas","(Max de tension en bas)",""))))</f>
        <v/>
      </c>
      <c r="P17" s="57">
        <f>IF(Profil!$XFB$23&lt;20,2,3)</f>
        <v>2</v>
      </c>
      <c r="Q17" s="10" t="str">
        <f>IF(Profil!$XFA$19="HD","6","4")</f>
        <v>4</v>
      </c>
      <c r="R17" s="10" t="str">
        <f>IF(Profil!$XFA$19="HD",MROUND((0.4*Profil!$F$15),Profil!$F$12)&amp;"kg","-12%")</f>
        <v>-12%</v>
      </c>
      <c r="S17" s="129"/>
      <c r="T17" s="116" t="s">
        <v>11</v>
      </c>
      <c r="U17" s="9"/>
      <c r="V17" s="10">
        <v>3</v>
      </c>
      <c r="W17" s="10">
        <v>4</v>
      </c>
      <c r="X17" s="22" t="str">
        <f>MROUND((0.81*Profil!$F$15),Profil!$F$12)&amp;"kg"</f>
        <v>0kg</v>
      </c>
      <c r="Y17" s="131"/>
      <c r="Z17" s="116" t="s">
        <v>11</v>
      </c>
      <c r="AA17" s="1"/>
    </row>
    <row r="18" spans="1:27" ht="15" customHeight="1" x14ac:dyDescent="0.25">
      <c r="A18" s="1"/>
      <c r="B18" s="5"/>
      <c r="C18" s="35" t="s">
        <v>0</v>
      </c>
      <c r="D18" s="36">
        <v>1</v>
      </c>
      <c r="E18" s="36">
        <v>4</v>
      </c>
      <c r="F18" s="37" t="s">
        <v>12</v>
      </c>
      <c r="G18" s="179"/>
      <c r="H18" s="116" t="s">
        <v>13</v>
      </c>
      <c r="I18" s="43" t="s">
        <v>0</v>
      </c>
      <c r="J18" s="36">
        <f>IF(Profil!$XFB$34&lt;10,2,3)</f>
        <v>3</v>
      </c>
      <c r="K18" s="25">
        <v>4</v>
      </c>
      <c r="L18" s="24" t="str">
        <f>MROUND((0.8*Profil!$F$26),Profil!$F$12)&amp;"kg"</f>
        <v>0kg</v>
      </c>
      <c r="M18" s="126"/>
      <c r="N18" s="2"/>
      <c r="O18" s="21" t="s">
        <v>26</v>
      </c>
      <c r="P18" s="36">
        <v>1</v>
      </c>
      <c r="Q18" s="12">
        <v>1</v>
      </c>
      <c r="R18" s="18" t="s">
        <v>12</v>
      </c>
      <c r="S18" s="181"/>
      <c r="T18" s="116" t="s">
        <v>13</v>
      </c>
      <c r="U18" s="20" t="s">
        <v>3</v>
      </c>
      <c r="V18" s="12">
        <v>1</v>
      </c>
      <c r="W18" s="12">
        <v>1</v>
      </c>
      <c r="X18" s="18" t="s">
        <v>12</v>
      </c>
      <c r="Y18" s="183"/>
      <c r="Z18" s="116" t="s">
        <v>13</v>
      </c>
      <c r="AA18" s="1"/>
    </row>
    <row r="19" spans="1:27" ht="15" customHeight="1" x14ac:dyDescent="0.25">
      <c r="A19" s="1"/>
      <c r="B19" s="5"/>
      <c r="C19" s="38"/>
      <c r="D19" s="36">
        <f>IF(Profil!$XFB$34&lt;16,2,3)</f>
        <v>3</v>
      </c>
      <c r="E19" s="36">
        <v>7</v>
      </c>
      <c r="F19" s="24" t="str">
        <f>MROUND((0.725*Profil!$F$26),Profil!$F$12)&amp;"kg"</f>
        <v>0kg</v>
      </c>
      <c r="G19" s="127"/>
      <c r="H19" s="116" t="s">
        <v>15</v>
      </c>
      <c r="I19" s="26"/>
      <c r="J19" s="24"/>
      <c r="K19" s="24"/>
      <c r="L19" s="24"/>
      <c r="M19" s="126"/>
      <c r="N19" s="2"/>
      <c r="O19" s="21" t="str">
        <f>IF(Profil!$XFA$30="Pause","",IF(Profil!$XFA$30="Traj","Tempo 4:1:4 Bench","Tshirt Pause Bench"))</f>
        <v>Tshirt Pause Bench</v>
      </c>
      <c r="P19" s="69" t="str">
        <f>IF(Profil!$XFA$30="Pause","4",IF(Profil!$XFA$30="Traj","3","3"))</f>
        <v>3</v>
      </c>
      <c r="Q19" s="69" t="str">
        <f>IF(Profil!$XFA$30="Pause","3",IF(Profil!$XFA$30="Traj","5","6"))</f>
        <v>6</v>
      </c>
      <c r="R19" s="69" t="str">
        <f>IF(Profil!$XFA$30="Pause",MROUND((0.79*Profil!$F$26),Profil!$F$12)&amp;"kg",IF(Profil!$XFA$30="Traj",MROUND((0.625*Profil!$F$26),Profil!$F$12)&amp;"kg",MROUND((0.75*Profil!$F$26),Profil!$F$12)&amp;"kg"))</f>
        <v>0kg</v>
      </c>
      <c r="S19" s="126"/>
      <c r="T19" s="116" t="s">
        <v>15</v>
      </c>
      <c r="U19" s="8"/>
      <c r="V19" s="12">
        <v>3</v>
      </c>
      <c r="W19" s="12">
        <v>3</v>
      </c>
      <c r="X19" s="24" t="str">
        <f>MROUND((0.82*Profil!$F$37),Profil!$F$12)&amp;"kg"</f>
        <v>0kg</v>
      </c>
      <c r="Y19" s="132"/>
      <c r="Z19" s="116" t="s">
        <v>15</v>
      </c>
      <c r="AA19" s="1"/>
    </row>
    <row r="20" spans="1:27" ht="15" customHeight="1" x14ac:dyDescent="0.25">
      <c r="A20" s="1"/>
      <c r="B20" s="5"/>
      <c r="C20" s="9" t="s">
        <v>1</v>
      </c>
      <c r="D20" s="10">
        <v>3</v>
      </c>
      <c r="E20" s="10">
        <v>10</v>
      </c>
      <c r="F20" s="17" t="s">
        <v>12</v>
      </c>
      <c r="G20" s="128"/>
      <c r="H20" s="116" t="s">
        <v>17</v>
      </c>
      <c r="I20" s="44" t="s">
        <v>65</v>
      </c>
      <c r="J20" s="45">
        <v>3</v>
      </c>
      <c r="K20" s="46" t="s">
        <v>16</v>
      </c>
      <c r="L20" s="47"/>
      <c r="M20" s="126"/>
      <c r="N20" s="2"/>
      <c r="O20" s="19" t="s">
        <v>31</v>
      </c>
      <c r="P20" s="10">
        <v>3</v>
      </c>
      <c r="Q20" s="10">
        <v>10</v>
      </c>
      <c r="R20" s="17" t="s">
        <v>12</v>
      </c>
      <c r="S20" s="126"/>
      <c r="T20" s="116" t="s">
        <v>17</v>
      </c>
      <c r="U20" s="9" t="s">
        <v>0</v>
      </c>
      <c r="V20" s="10">
        <v>1</v>
      </c>
      <c r="W20" s="10">
        <v>1</v>
      </c>
      <c r="X20" s="17" t="s">
        <v>14</v>
      </c>
      <c r="Y20" s="184"/>
      <c r="Z20" s="116" t="s">
        <v>17</v>
      </c>
      <c r="AA20" s="1"/>
    </row>
    <row r="21" spans="1:27" ht="15" customHeight="1" x14ac:dyDescent="0.25">
      <c r="A21" s="208" t="s">
        <v>23</v>
      </c>
      <c r="B21" s="5"/>
      <c r="C21" s="20" t="s">
        <v>67</v>
      </c>
      <c r="D21" s="12">
        <v>3</v>
      </c>
      <c r="E21" s="12">
        <v>8</v>
      </c>
      <c r="F21" s="18" t="s">
        <v>12</v>
      </c>
      <c r="G21" s="128"/>
      <c r="H21" s="115"/>
      <c r="I21" s="23" t="s">
        <v>22</v>
      </c>
      <c r="J21" s="53">
        <v>3</v>
      </c>
      <c r="K21" s="54" t="s">
        <v>16</v>
      </c>
      <c r="L21" s="55"/>
      <c r="M21" s="126"/>
      <c r="N21" s="1"/>
      <c r="O21" s="20" t="str">
        <f>IF(Profil!$XFA$49="Dos","Bird Dog",IF(Profil!$XFA$49="Ep","Reverse KB Press",IF(Profil!$XFA$49="Coud","Extension nuque élastique",IF(Profil!$XFA$49="Poig","Extension poignets",IF(Profil!$XFA$49="Bass","One Leg RDL",IF(Profil!$XFA$49="Genx","Nordic Leg Curl","Flexions de cheville"))))))</f>
        <v>Flexions de cheville</v>
      </c>
      <c r="P21" s="12">
        <v>3</v>
      </c>
      <c r="Q21" s="12">
        <v>15</v>
      </c>
      <c r="R21" s="12"/>
      <c r="S21" s="126"/>
      <c r="T21" s="115"/>
      <c r="U21" s="9"/>
      <c r="V21" s="10">
        <v>4</v>
      </c>
      <c r="W21" s="10">
        <v>3</v>
      </c>
      <c r="X21" s="11">
        <v>-0.1</v>
      </c>
      <c r="Y21" s="128"/>
      <c r="Z21" s="115"/>
      <c r="AA21" s="1"/>
    </row>
    <row r="22" spans="1:27" ht="15" customHeight="1" thickBot="1" x14ac:dyDescent="0.3">
      <c r="A22" s="209"/>
      <c r="B22" s="5"/>
      <c r="C22" s="40" t="s">
        <v>19</v>
      </c>
      <c r="D22" s="41">
        <v>3</v>
      </c>
      <c r="E22" s="42" t="s">
        <v>20</v>
      </c>
      <c r="F22" s="41"/>
      <c r="G22" s="128"/>
      <c r="H22" s="117"/>
      <c r="I22" s="56" t="s">
        <v>66</v>
      </c>
      <c r="J22" s="57">
        <v>3</v>
      </c>
      <c r="K22" s="58"/>
      <c r="L22" s="59"/>
      <c r="M22" s="126"/>
      <c r="N22" s="2"/>
      <c r="O22" s="13" t="s">
        <v>21</v>
      </c>
      <c r="P22" s="14">
        <v>3</v>
      </c>
      <c r="Q22" s="15"/>
      <c r="R22" s="14"/>
      <c r="S22" s="126"/>
      <c r="T22" s="117"/>
      <c r="U22" s="70" t="str">
        <f>IF(Profil!$XFA$32="Bas","2ct Low Pin Press",IF(Profil!$XFA$30="Milieu","Larsen Press","Close Grip Bench"))</f>
        <v>Close Grip Bench</v>
      </c>
      <c r="V22" s="22">
        <v>2</v>
      </c>
      <c r="W22" s="71">
        <f>IF(Profil!$XFA$32="Bas",5,7)</f>
        <v>7</v>
      </c>
      <c r="X22" s="67" t="str">
        <f>IF(Profil!$XFA$32="Bas",MROUND((0.69*Profil!$F$26),Profil!$F$12)&amp;"kg",MROUND((0.67*Profil!$F$26),Profil!$F$12)&amp;"kg")</f>
        <v>0kg</v>
      </c>
      <c r="Y22" s="128"/>
      <c r="Z22" s="117"/>
      <c r="AA22" s="1"/>
    </row>
    <row r="23" spans="1:27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 customHeight="1" x14ac:dyDescent="0.2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</row>
    <row r="25" spans="1:27" ht="15" customHeight="1" x14ac:dyDescent="0.3">
      <c r="A25" s="188" t="s">
        <v>90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</row>
    <row r="26" spans="1:2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hidden="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hidden="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hidden="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hidden="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hidden="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hidden="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hidden="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hidden="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 hidden="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" hidden="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" hidden="1" customHeight="1" x14ac:dyDescent="0.25">
      <c r="N37" s="1"/>
    </row>
    <row r="38" spans="1:27" ht="15" hidden="1" customHeight="1" x14ac:dyDescent="0.25">
      <c r="N38" s="1"/>
    </row>
    <row r="39" spans="1:27" ht="15" hidden="1" customHeight="1" x14ac:dyDescent="0.25">
      <c r="N39" s="1"/>
    </row>
    <row r="40" spans="1:27" ht="15" hidden="1" customHeight="1" x14ac:dyDescent="0.25">
      <c r="N40" s="1"/>
    </row>
    <row r="41" spans="1:27" ht="15" hidden="1" customHeight="1" x14ac:dyDescent="0.25">
      <c r="N41" s="1"/>
    </row>
    <row r="42" spans="1:27" ht="15" hidden="1" customHeight="1" x14ac:dyDescent="0.25">
      <c r="N42" s="1"/>
    </row>
    <row r="43" spans="1:27" ht="15" hidden="1" customHeight="1" x14ac:dyDescent="0.25">
      <c r="N43" s="1"/>
    </row>
    <row r="44" spans="1:27" ht="15" hidden="1" customHeight="1" x14ac:dyDescent="0.25">
      <c r="N44" s="1"/>
    </row>
    <row r="45" spans="1:27" ht="15" hidden="1" customHeight="1" x14ac:dyDescent="0.25">
      <c r="N45" s="1"/>
    </row>
    <row r="46" spans="1:27" ht="15.75" hidden="1" customHeight="1" x14ac:dyDescent="0.25">
      <c r="N46" s="1"/>
    </row>
    <row r="47" spans="1:27" ht="15.75" hidden="1" customHeight="1" x14ac:dyDescent="0.25">
      <c r="N47" s="1"/>
    </row>
    <row r="48" spans="1:27" ht="15.75" hidden="1" customHeight="1" x14ac:dyDescent="0.25">
      <c r="N48" s="1"/>
    </row>
    <row r="49" spans="14:14" ht="15.75" hidden="1" customHeight="1" x14ac:dyDescent="0.25">
      <c r="N49" s="1"/>
    </row>
    <row r="50" spans="14:14" ht="15.75" hidden="1" customHeight="1" x14ac:dyDescent="0.25">
      <c r="N50" s="1"/>
    </row>
    <row r="51" spans="14:14" ht="15.75" hidden="1" customHeight="1" x14ac:dyDescent="0.25">
      <c r="N51" s="1"/>
    </row>
    <row r="52" spans="14:14" ht="15.75" hidden="1" customHeight="1" x14ac:dyDescent="0.25">
      <c r="N52" s="1"/>
    </row>
    <row r="53" spans="14:14" ht="15.75" hidden="1" customHeight="1" x14ac:dyDescent="0.25">
      <c r="N53" s="1"/>
    </row>
    <row r="54" spans="14:14" ht="15.75" hidden="1" customHeight="1" x14ac:dyDescent="0.25">
      <c r="N54" s="1"/>
    </row>
    <row r="55" spans="14:14" ht="15.75" hidden="1" customHeight="1" x14ac:dyDescent="0.25">
      <c r="N55" s="1"/>
    </row>
    <row r="56" spans="14:14" ht="15.75" hidden="1" customHeight="1" x14ac:dyDescent="0.25">
      <c r="N56" s="1"/>
    </row>
    <row r="57" spans="14:14" ht="15.75" hidden="1" customHeight="1" x14ac:dyDescent="0.25">
      <c r="N57" s="1"/>
    </row>
    <row r="58" spans="14:14" ht="15.75" hidden="1" customHeight="1" x14ac:dyDescent="0.25">
      <c r="N58" s="1"/>
    </row>
    <row r="59" spans="14:14" ht="15.75" hidden="1" customHeight="1" x14ac:dyDescent="0.25">
      <c r="N59" s="1"/>
    </row>
    <row r="60" spans="14:14" ht="15.75" hidden="1" customHeight="1" x14ac:dyDescent="0.25">
      <c r="N60" s="1"/>
    </row>
    <row r="61" spans="14:14" ht="15.75" hidden="1" customHeight="1" x14ac:dyDescent="0.25">
      <c r="N61" s="1"/>
    </row>
    <row r="62" spans="14:14" ht="15.75" hidden="1" customHeight="1" x14ac:dyDescent="0.25">
      <c r="N62" s="1"/>
    </row>
    <row r="63" spans="14:14" ht="15.75" hidden="1" customHeight="1" x14ac:dyDescent="0.25">
      <c r="N63" s="1"/>
    </row>
    <row r="64" spans="14:14" ht="15.75" hidden="1" customHeight="1" x14ac:dyDescent="0.25">
      <c r="N64" s="1"/>
    </row>
    <row r="65" spans="14:14" ht="15.75" hidden="1" customHeight="1" x14ac:dyDescent="0.25">
      <c r="N65" s="1"/>
    </row>
    <row r="66" spans="14:14" ht="15.75" hidden="1" customHeight="1" x14ac:dyDescent="0.25">
      <c r="N66" s="1"/>
    </row>
    <row r="67" spans="14:14" ht="15.75" hidden="1" customHeight="1" x14ac:dyDescent="0.25">
      <c r="N67" s="1"/>
    </row>
    <row r="68" spans="14:14" ht="15.75" hidden="1" customHeight="1" x14ac:dyDescent="0.25">
      <c r="N68" s="1"/>
    </row>
    <row r="69" spans="14:14" ht="15.75" hidden="1" customHeight="1" x14ac:dyDescent="0.25">
      <c r="N69" s="1"/>
    </row>
    <row r="70" spans="14:14" ht="15.75" hidden="1" customHeight="1" x14ac:dyDescent="0.25">
      <c r="N70" s="1"/>
    </row>
    <row r="71" spans="14:14" ht="15.75" hidden="1" customHeight="1" x14ac:dyDescent="0.25">
      <c r="N71" s="1"/>
    </row>
    <row r="72" spans="14:14" ht="15.75" hidden="1" customHeight="1" x14ac:dyDescent="0.25">
      <c r="N72" s="1"/>
    </row>
    <row r="73" spans="14:14" ht="15.75" hidden="1" customHeight="1" x14ac:dyDescent="0.25">
      <c r="N73" s="1"/>
    </row>
    <row r="74" spans="14:14" ht="15.75" hidden="1" customHeight="1" x14ac:dyDescent="0.25">
      <c r="N74" s="1"/>
    </row>
    <row r="75" spans="14:14" ht="15.75" hidden="1" customHeight="1" x14ac:dyDescent="0.25">
      <c r="N75" s="1"/>
    </row>
    <row r="76" spans="14:14" ht="15.75" hidden="1" customHeight="1" x14ac:dyDescent="0.25">
      <c r="N76" s="1"/>
    </row>
    <row r="77" spans="14:14" ht="15.75" hidden="1" customHeight="1" x14ac:dyDescent="0.25">
      <c r="N77" s="1"/>
    </row>
    <row r="78" spans="14:14" ht="15.75" hidden="1" customHeight="1" x14ac:dyDescent="0.25">
      <c r="N78" s="1"/>
    </row>
    <row r="79" spans="14:14" ht="15.75" hidden="1" customHeight="1" x14ac:dyDescent="0.25">
      <c r="N79" s="1"/>
    </row>
    <row r="80" spans="14:14" ht="15.75" hidden="1" customHeight="1" x14ac:dyDescent="0.25">
      <c r="N80" s="1"/>
    </row>
    <row r="81" spans="14:14" ht="15.75" hidden="1" customHeight="1" x14ac:dyDescent="0.25">
      <c r="N81" s="1"/>
    </row>
    <row r="82" spans="14:14" ht="15.75" hidden="1" customHeight="1" x14ac:dyDescent="0.25">
      <c r="N82" s="1"/>
    </row>
    <row r="83" spans="14:14" ht="15.75" hidden="1" customHeight="1" x14ac:dyDescent="0.25">
      <c r="N83" s="1"/>
    </row>
    <row r="84" spans="14:14" ht="15.75" hidden="1" customHeight="1" x14ac:dyDescent="0.25">
      <c r="N84" s="1"/>
    </row>
    <row r="85" spans="14:14" ht="15.75" hidden="1" customHeight="1" x14ac:dyDescent="0.25">
      <c r="N85" s="1"/>
    </row>
    <row r="86" spans="14:14" ht="15.75" hidden="1" customHeight="1" x14ac:dyDescent="0.25">
      <c r="N86" s="1"/>
    </row>
    <row r="87" spans="14:14" ht="15.75" hidden="1" customHeight="1" x14ac:dyDescent="0.25">
      <c r="N87" s="1"/>
    </row>
    <row r="88" spans="14:14" ht="15.75" hidden="1" customHeight="1" x14ac:dyDescent="0.25">
      <c r="N88" s="1"/>
    </row>
    <row r="89" spans="14:14" ht="15.75" hidden="1" customHeight="1" x14ac:dyDescent="0.25">
      <c r="N89" s="1"/>
    </row>
    <row r="90" spans="14:14" ht="15.75" hidden="1" customHeight="1" x14ac:dyDescent="0.25">
      <c r="N90" s="1"/>
    </row>
    <row r="91" spans="14:14" ht="15.75" hidden="1" customHeight="1" x14ac:dyDescent="0.25">
      <c r="N91" s="1"/>
    </row>
    <row r="92" spans="14:14" ht="15.75" hidden="1" customHeight="1" x14ac:dyDescent="0.25">
      <c r="N92" s="1"/>
    </row>
    <row r="93" spans="14:14" ht="15.75" hidden="1" customHeight="1" x14ac:dyDescent="0.25">
      <c r="N93" s="1"/>
    </row>
    <row r="94" spans="14:14" ht="15.75" hidden="1" customHeight="1" x14ac:dyDescent="0.25">
      <c r="N94" s="1"/>
    </row>
    <row r="95" spans="14:14" ht="15.75" hidden="1" customHeight="1" x14ac:dyDescent="0.25">
      <c r="N95" s="1"/>
    </row>
    <row r="96" spans="14:14" ht="15.75" hidden="1" customHeight="1" x14ac:dyDescent="0.25">
      <c r="N96" s="1"/>
    </row>
    <row r="97" spans="14:14" ht="15.75" hidden="1" customHeight="1" x14ac:dyDescent="0.25">
      <c r="N97" s="1"/>
    </row>
    <row r="98" spans="14:14" ht="15.75" hidden="1" customHeight="1" x14ac:dyDescent="0.25">
      <c r="N98" s="1"/>
    </row>
    <row r="99" spans="14:14" ht="15.75" hidden="1" customHeight="1" x14ac:dyDescent="0.25">
      <c r="N99" s="1"/>
    </row>
    <row r="100" spans="14:14" ht="15.75" hidden="1" customHeight="1" x14ac:dyDescent="0.25">
      <c r="N100" s="1"/>
    </row>
    <row r="101" spans="14:14" ht="15.75" hidden="1" customHeight="1" x14ac:dyDescent="0.25">
      <c r="N101" s="1"/>
    </row>
    <row r="102" spans="14:14" ht="15.75" hidden="1" customHeight="1" x14ac:dyDescent="0.25">
      <c r="N102" s="1"/>
    </row>
    <row r="103" spans="14:14" ht="15.75" hidden="1" customHeight="1" x14ac:dyDescent="0.25">
      <c r="N103" s="1"/>
    </row>
    <row r="104" spans="14:14" ht="15.75" hidden="1" customHeight="1" x14ac:dyDescent="0.25">
      <c r="N104" s="1"/>
    </row>
    <row r="105" spans="14:14" ht="15.75" hidden="1" customHeight="1" x14ac:dyDescent="0.25">
      <c r="N105" s="1"/>
    </row>
    <row r="106" spans="14:14" ht="15.75" hidden="1" customHeight="1" x14ac:dyDescent="0.25">
      <c r="N106" s="1"/>
    </row>
    <row r="107" spans="14:14" ht="15.75" hidden="1" customHeight="1" x14ac:dyDescent="0.25">
      <c r="N107" s="1"/>
    </row>
    <row r="108" spans="14:14" ht="15.75" hidden="1" customHeight="1" x14ac:dyDescent="0.25">
      <c r="N108" s="1"/>
    </row>
    <row r="109" spans="14:14" ht="15.75" hidden="1" customHeight="1" x14ac:dyDescent="0.25">
      <c r="N109" s="1"/>
    </row>
    <row r="110" spans="14:14" ht="15.75" hidden="1" customHeight="1" x14ac:dyDescent="0.25">
      <c r="N110" s="1"/>
    </row>
    <row r="111" spans="14:14" ht="15.75" hidden="1" customHeight="1" x14ac:dyDescent="0.25">
      <c r="N111" s="1"/>
    </row>
    <row r="112" spans="14:14" ht="15.75" hidden="1" customHeight="1" x14ac:dyDescent="0.25">
      <c r="N112" s="1"/>
    </row>
    <row r="113" spans="14:14" ht="15.75" hidden="1" customHeight="1" x14ac:dyDescent="0.25">
      <c r="N113" s="1"/>
    </row>
    <row r="114" spans="14:14" ht="15.75" hidden="1" customHeight="1" x14ac:dyDescent="0.25">
      <c r="N114" s="1"/>
    </row>
    <row r="115" spans="14:14" ht="15.75" hidden="1" customHeight="1" x14ac:dyDescent="0.25">
      <c r="N115" s="1"/>
    </row>
    <row r="116" spans="14:14" ht="15.75" hidden="1" customHeight="1" x14ac:dyDescent="0.25">
      <c r="N116" s="1"/>
    </row>
    <row r="117" spans="14:14" ht="15.75" hidden="1" customHeight="1" x14ac:dyDescent="0.25">
      <c r="N117" s="1"/>
    </row>
    <row r="118" spans="14:14" ht="15.75" hidden="1" customHeight="1" x14ac:dyDescent="0.25">
      <c r="N118" s="1"/>
    </row>
    <row r="119" spans="14:14" ht="15.75" hidden="1" customHeight="1" x14ac:dyDescent="0.25">
      <c r="N119" s="1"/>
    </row>
    <row r="120" spans="14:14" ht="15.75" hidden="1" customHeight="1" x14ac:dyDescent="0.25">
      <c r="N120" s="1"/>
    </row>
    <row r="121" spans="14:14" ht="15.75" hidden="1" customHeight="1" x14ac:dyDescent="0.25">
      <c r="N121" s="1"/>
    </row>
    <row r="122" spans="14:14" ht="15.75" hidden="1" customHeight="1" x14ac:dyDescent="0.25">
      <c r="N122" s="1"/>
    </row>
    <row r="123" spans="14:14" ht="15.75" hidden="1" customHeight="1" x14ac:dyDescent="0.25">
      <c r="N123" s="1"/>
    </row>
    <row r="124" spans="14:14" ht="15.75" hidden="1" customHeight="1" x14ac:dyDescent="0.25">
      <c r="N124" s="1"/>
    </row>
    <row r="125" spans="14:14" ht="15.75" hidden="1" customHeight="1" x14ac:dyDescent="0.25">
      <c r="N125" s="1"/>
    </row>
    <row r="126" spans="14:14" ht="15.75" hidden="1" customHeight="1" x14ac:dyDescent="0.25">
      <c r="N126" s="1"/>
    </row>
    <row r="127" spans="14:14" ht="15.75" hidden="1" customHeight="1" x14ac:dyDescent="0.25">
      <c r="N127" s="1"/>
    </row>
    <row r="128" spans="14:14" ht="15.75" hidden="1" customHeight="1" x14ac:dyDescent="0.25">
      <c r="N128" s="1"/>
    </row>
    <row r="129" spans="14:14" ht="15.75" hidden="1" customHeight="1" x14ac:dyDescent="0.25">
      <c r="N129" s="1"/>
    </row>
    <row r="130" spans="14:14" ht="15.75" hidden="1" customHeight="1" x14ac:dyDescent="0.25">
      <c r="N130" s="1"/>
    </row>
    <row r="131" spans="14:14" ht="15.75" hidden="1" customHeight="1" x14ac:dyDescent="0.25">
      <c r="N131" s="1"/>
    </row>
    <row r="132" spans="14:14" ht="15.75" hidden="1" customHeight="1" x14ac:dyDescent="0.25">
      <c r="N132" s="1"/>
    </row>
    <row r="133" spans="14:14" ht="15.75" hidden="1" customHeight="1" x14ac:dyDescent="0.25">
      <c r="N133" s="1"/>
    </row>
    <row r="134" spans="14:14" ht="15.75" hidden="1" customHeight="1" x14ac:dyDescent="0.25">
      <c r="N134" s="1"/>
    </row>
    <row r="135" spans="14:14" ht="15.75" hidden="1" customHeight="1" x14ac:dyDescent="0.25">
      <c r="N135" s="1"/>
    </row>
    <row r="136" spans="14:14" ht="15.75" hidden="1" customHeight="1" x14ac:dyDescent="0.25">
      <c r="N136" s="1"/>
    </row>
    <row r="137" spans="14:14" ht="15.75" hidden="1" customHeight="1" x14ac:dyDescent="0.25">
      <c r="N137" s="1"/>
    </row>
    <row r="138" spans="14:14" ht="15.75" hidden="1" customHeight="1" x14ac:dyDescent="0.25">
      <c r="N138" s="1"/>
    </row>
    <row r="139" spans="14:14" ht="15.75" hidden="1" customHeight="1" x14ac:dyDescent="0.25">
      <c r="N139" s="1"/>
    </row>
    <row r="140" spans="14:14" ht="15.75" hidden="1" customHeight="1" x14ac:dyDescent="0.25">
      <c r="N140" s="1"/>
    </row>
    <row r="141" spans="14:14" ht="15.75" hidden="1" customHeight="1" x14ac:dyDescent="0.25">
      <c r="N141" s="1"/>
    </row>
    <row r="142" spans="14:14" ht="15.75" hidden="1" customHeight="1" x14ac:dyDescent="0.25">
      <c r="N142" s="1"/>
    </row>
    <row r="143" spans="14:14" ht="15.75" hidden="1" customHeight="1" x14ac:dyDescent="0.25">
      <c r="N143" s="1"/>
    </row>
    <row r="144" spans="14:14" ht="15.75" hidden="1" customHeight="1" x14ac:dyDescent="0.25">
      <c r="N144" s="1"/>
    </row>
    <row r="145" spans="14:14" ht="15.75" hidden="1" customHeight="1" x14ac:dyDescent="0.25">
      <c r="N145" s="1"/>
    </row>
    <row r="146" spans="14:14" ht="15.75" hidden="1" customHeight="1" x14ac:dyDescent="0.25">
      <c r="N146" s="1"/>
    </row>
    <row r="147" spans="14:14" ht="15.75" hidden="1" customHeight="1" x14ac:dyDescent="0.25">
      <c r="N147" s="1"/>
    </row>
    <row r="148" spans="14:14" ht="15.75" hidden="1" customHeight="1" x14ac:dyDescent="0.25">
      <c r="N148" s="1"/>
    </row>
    <row r="149" spans="14:14" ht="15.75" hidden="1" customHeight="1" x14ac:dyDescent="0.25">
      <c r="N149" s="1"/>
    </row>
    <row r="150" spans="14:14" ht="15.75" hidden="1" customHeight="1" x14ac:dyDescent="0.25">
      <c r="N150" s="1"/>
    </row>
    <row r="151" spans="14:14" ht="15.75" hidden="1" customHeight="1" x14ac:dyDescent="0.25">
      <c r="N151" s="1"/>
    </row>
    <row r="152" spans="14:14" ht="15.75" hidden="1" customHeight="1" x14ac:dyDescent="0.25">
      <c r="N152" s="1"/>
    </row>
    <row r="153" spans="14:14" ht="15.75" hidden="1" customHeight="1" x14ac:dyDescent="0.25">
      <c r="N153" s="1"/>
    </row>
    <row r="154" spans="14:14" ht="15.75" hidden="1" customHeight="1" x14ac:dyDescent="0.25">
      <c r="N154" s="1"/>
    </row>
    <row r="155" spans="14:14" ht="15.75" hidden="1" customHeight="1" x14ac:dyDescent="0.25">
      <c r="N155" s="1"/>
    </row>
    <row r="156" spans="14:14" ht="15.75" hidden="1" customHeight="1" x14ac:dyDescent="0.25">
      <c r="N156" s="1"/>
    </row>
    <row r="157" spans="14:14" ht="15.75" hidden="1" customHeight="1" x14ac:dyDescent="0.25">
      <c r="N157" s="1"/>
    </row>
    <row r="158" spans="14:14" ht="15.75" hidden="1" customHeight="1" x14ac:dyDescent="0.25">
      <c r="N158" s="1"/>
    </row>
    <row r="159" spans="14:14" ht="15.75" hidden="1" customHeight="1" x14ac:dyDescent="0.25">
      <c r="N159" s="1"/>
    </row>
    <row r="160" spans="14:14" ht="15.75" hidden="1" customHeight="1" x14ac:dyDescent="0.25">
      <c r="N160" s="1"/>
    </row>
    <row r="161" spans="14:14" ht="15.75" hidden="1" customHeight="1" x14ac:dyDescent="0.25">
      <c r="N161" s="1"/>
    </row>
    <row r="162" spans="14:14" ht="15.75" hidden="1" customHeight="1" x14ac:dyDescent="0.25">
      <c r="N162" s="1"/>
    </row>
    <row r="163" spans="14:14" ht="15.75" hidden="1" customHeight="1" x14ac:dyDescent="0.25">
      <c r="N163" s="1"/>
    </row>
    <row r="164" spans="14:14" ht="15.75" hidden="1" customHeight="1" x14ac:dyDescent="0.25">
      <c r="N164" s="1"/>
    </row>
    <row r="165" spans="14:14" ht="15.75" hidden="1" customHeight="1" x14ac:dyDescent="0.25">
      <c r="N165" s="1"/>
    </row>
    <row r="166" spans="14:14" ht="15.75" hidden="1" customHeight="1" x14ac:dyDescent="0.25">
      <c r="N166" s="1"/>
    </row>
    <row r="167" spans="14:14" ht="15.75" hidden="1" customHeight="1" x14ac:dyDescent="0.25">
      <c r="N167" s="1"/>
    </row>
    <row r="168" spans="14:14" ht="15.75" hidden="1" customHeight="1" x14ac:dyDescent="0.25">
      <c r="N168" s="1"/>
    </row>
    <row r="169" spans="14:14" ht="15.75" hidden="1" customHeight="1" x14ac:dyDescent="0.25">
      <c r="N169" s="1"/>
    </row>
    <row r="170" spans="14:14" ht="15.75" hidden="1" customHeight="1" x14ac:dyDescent="0.25">
      <c r="N170" s="1"/>
    </row>
    <row r="171" spans="14:14" ht="15.75" hidden="1" customHeight="1" x14ac:dyDescent="0.25">
      <c r="N171" s="1"/>
    </row>
    <row r="172" spans="14:14" ht="15.75" hidden="1" customHeight="1" x14ac:dyDescent="0.25">
      <c r="N172" s="1"/>
    </row>
    <row r="173" spans="14:14" ht="15.75" hidden="1" customHeight="1" x14ac:dyDescent="0.25">
      <c r="N173" s="1"/>
    </row>
    <row r="174" spans="14:14" ht="15.75" hidden="1" customHeight="1" x14ac:dyDescent="0.25">
      <c r="N174" s="1"/>
    </row>
    <row r="175" spans="14:14" ht="15.75" hidden="1" customHeight="1" x14ac:dyDescent="0.25">
      <c r="N175" s="1"/>
    </row>
    <row r="176" spans="14:14" ht="15.75" hidden="1" customHeight="1" x14ac:dyDescent="0.25">
      <c r="N176" s="1"/>
    </row>
    <row r="177" spans="14:14" ht="15.75" hidden="1" customHeight="1" x14ac:dyDescent="0.25">
      <c r="N177" s="1"/>
    </row>
    <row r="178" spans="14:14" ht="15.75" hidden="1" customHeight="1" x14ac:dyDescent="0.25">
      <c r="N178" s="1"/>
    </row>
    <row r="179" spans="14:14" ht="15.75" hidden="1" customHeight="1" x14ac:dyDescent="0.25">
      <c r="N179" s="1"/>
    </row>
    <row r="180" spans="14:14" ht="15.75" hidden="1" customHeight="1" x14ac:dyDescent="0.25">
      <c r="N180" s="1"/>
    </row>
    <row r="181" spans="14:14" ht="15.75" hidden="1" customHeight="1" x14ac:dyDescent="0.25">
      <c r="N181" s="1"/>
    </row>
    <row r="182" spans="14:14" ht="15.75" hidden="1" customHeight="1" x14ac:dyDescent="0.25">
      <c r="N182" s="1"/>
    </row>
    <row r="183" spans="14:14" ht="15.75" hidden="1" customHeight="1" x14ac:dyDescent="0.25">
      <c r="N183" s="1"/>
    </row>
    <row r="184" spans="14:14" ht="15.75" hidden="1" customHeight="1" x14ac:dyDescent="0.25">
      <c r="N184" s="1"/>
    </row>
    <row r="185" spans="14:14" ht="15.75" hidden="1" customHeight="1" x14ac:dyDescent="0.25">
      <c r="N185" s="1"/>
    </row>
    <row r="186" spans="14:14" ht="15.75" hidden="1" customHeight="1" x14ac:dyDescent="0.25">
      <c r="N186" s="1"/>
    </row>
    <row r="187" spans="14:14" ht="15.75" hidden="1" customHeight="1" x14ac:dyDescent="0.25">
      <c r="N187" s="1"/>
    </row>
    <row r="188" spans="14:14" ht="15.75" hidden="1" customHeight="1" x14ac:dyDescent="0.25">
      <c r="N188" s="1"/>
    </row>
    <row r="189" spans="14:14" ht="15.75" hidden="1" customHeight="1" x14ac:dyDescent="0.25">
      <c r="N189" s="1"/>
    </row>
    <row r="190" spans="14:14" ht="15.75" hidden="1" customHeight="1" x14ac:dyDescent="0.25">
      <c r="N190" s="1"/>
    </row>
    <row r="191" spans="14:14" ht="15.75" hidden="1" customHeight="1" x14ac:dyDescent="0.25">
      <c r="N191" s="1"/>
    </row>
    <row r="192" spans="14:14" ht="15.75" hidden="1" customHeight="1" x14ac:dyDescent="0.25">
      <c r="N192" s="1"/>
    </row>
    <row r="193" spans="14:14" ht="15.75" hidden="1" customHeight="1" x14ac:dyDescent="0.25">
      <c r="N193" s="1"/>
    </row>
    <row r="194" spans="14:14" ht="15.75" hidden="1" customHeight="1" x14ac:dyDescent="0.25">
      <c r="N194" s="1"/>
    </row>
    <row r="195" spans="14:14" ht="15.75" hidden="1" customHeight="1" x14ac:dyDescent="0.25">
      <c r="N195" s="1"/>
    </row>
    <row r="196" spans="14:14" ht="15.75" hidden="1" customHeight="1" x14ac:dyDescent="0.25">
      <c r="N196" s="1"/>
    </row>
    <row r="197" spans="14:14" ht="15.75" hidden="1" customHeight="1" x14ac:dyDescent="0.25">
      <c r="N197" s="1"/>
    </row>
    <row r="198" spans="14:14" ht="15.75" hidden="1" customHeight="1" x14ac:dyDescent="0.25">
      <c r="N198" s="1"/>
    </row>
    <row r="199" spans="14:14" ht="15.75" hidden="1" customHeight="1" x14ac:dyDescent="0.25">
      <c r="N199" s="1"/>
    </row>
    <row r="200" spans="14:14" ht="15.75" hidden="1" customHeight="1" x14ac:dyDescent="0.25">
      <c r="N200" s="1"/>
    </row>
    <row r="201" spans="14:14" ht="15.75" hidden="1" customHeight="1" x14ac:dyDescent="0.25">
      <c r="N201" s="1"/>
    </row>
    <row r="202" spans="14:14" ht="15.75" hidden="1" customHeight="1" x14ac:dyDescent="0.25">
      <c r="N202" s="1"/>
    </row>
    <row r="203" spans="14:14" ht="15.75" hidden="1" customHeight="1" x14ac:dyDescent="0.25">
      <c r="N203" s="1"/>
    </row>
    <row r="204" spans="14:14" ht="15.75" hidden="1" customHeight="1" x14ac:dyDescent="0.25">
      <c r="N204" s="1"/>
    </row>
    <row r="205" spans="14:14" ht="15.75" hidden="1" customHeight="1" x14ac:dyDescent="0.25">
      <c r="N205" s="1"/>
    </row>
    <row r="206" spans="14:14" ht="15.75" hidden="1" customHeight="1" x14ac:dyDescent="0.25">
      <c r="N206" s="1"/>
    </row>
    <row r="207" spans="14:14" ht="15.75" hidden="1" customHeight="1" x14ac:dyDescent="0.25">
      <c r="N207" s="1"/>
    </row>
    <row r="208" spans="14:14" ht="15.75" hidden="1" customHeight="1" x14ac:dyDescent="0.25">
      <c r="N208" s="1"/>
    </row>
    <row r="209" spans="14:14" ht="15.75" hidden="1" customHeight="1" x14ac:dyDescent="0.25">
      <c r="N209" s="1"/>
    </row>
    <row r="210" spans="14:14" ht="15.75" hidden="1" customHeight="1" x14ac:dyDescent="0.25">
      <c r="N210" s="1"/>
    </row>
    <row r="211" spans="14:14" ht="15.75" hidden="1" customHeight="1" x14ac:dyDescent="0.25">
      <c r="N211" s="1"/>
    </row>
    <row r="212" spans="14:14" ht="15.75" hidden="1" customHeight="1" x14ac:dyDescent="0.25">
      <c r="N212" s="1"/>
    </row>
    <row r="213" spans="14:14" ht="15.75" hidden="1" customHeight="1" x14ac:dyDescent="0.25">
      <c r="N213" s="1"/>
    </row>
    <row r="214" spans="14:14" ht="15.75" hidden="1" customHeight="1" x14ac:dyDescent="0.25">
      <c r="N214" s="1"/>
    </row>
    <row r="215" spans="14:14" ht="15.75" hidden="1" customHeight="1" x14ac:dyDescent="0.25">
      <c r="N215" s="1"/>
    </row>
    <row r="216" spans="14:14" ht="15.75" hidden="1" customHeight="1" x14ac:dyDescent="0.25">
      <c r="N216" s="1"/>
    </row>
    <row r="217" spans="14:14" ht="15.75" hidden="1" customHeight="1" x14ac:dyDescent="0.25">
      <c r="N217" s="1"/>
    </row>
    <row r="218" spans="14:14" ht="15.75" hidden="1" customHeight="1" x14ac:dyDescent="0.25">
      <c r="N218" s="1"/>
    </row>
    <row r="219" spans="14:14" ht="15.75" hidden="1" customHeight="1" x14ac:dyDescent="0.25">
      <c r="N219" s="1"/>
    </row>
    <row r="220" spans="14:14" ht="15.75" hidden="1" customHeight="1" x14ac:dyDescent="0.25">
      <c r="N220" s="1"/>
    </row>
    <row r="221" spans="14:14" ht="15.75" hidden="1" customHeight="1" x14ac:dyDescent="0.25">
      <c r="N221" s="1"/>
    </row>
    <row r="222" spans="14:14" ht="15.75" hidden="1" customHeight="1" x14ac:dyDescent="0.25">
      <c r="N222" s="1"/>
    </row>
    <row r="223" spans="14:14" ht="15.75" hidden="1" customHeight="1" x14ac:dyDescent="0.25">
      <c r="N223" s="1"/>
    </row>
    <row r="224" spans="14:14" ht="15.75" hidden="1" customHeight="1" x14ac:dyDescent="0.25">
      <c r="N224" s="1"/>
    </row>
    <row r="225" spans="14:14" ht="15.75" hidden="1" customHeight="1" x14ac:dyDescent="0.25">
      <c r="N225" s="1"/>
    </row>
    <row r="226" spans="14:14" ht="15.75" hidden="1" customHeight="1" x14ac:dyDescent="0.25">
      <c r="N226" s="1"/>
    </row>
    <row r="227" spans="14:14" ht="15.75" hidden="1" customHeight="1" x14ac:dyDescent="0.25">
      <c r="N227" s="1"/>
    </row>
    <row r="228" spans="14:14" ht="15.75" hidden="1" customHeight="1" x14ac:dyDescent="0.25">
      <c r="N228" s="1"/>
    </row>
    <row r="229" spans="14:14" ht="15.75" hidden="1" customHeight="1" x14ac:dyDescent="0.25">
      <c r="N229" s="1"/>
    </row>
    <row r="230" spans="14:14" ht="15.75" hidden="1" customHeight="1" x14ac:dyDescent="0.25">
      <c r="N230" s="1"/>
    </row>
    <row r="231" spans="14:14" ht="15.75" hidden="1" customHeight="1" x14ac:dyDescent="0.25">
      <c r="N231" s="1"/>
    </row>
    <row r="232" spans="14:14" ht="15.75" hidden="1" customHeight="1" x14ac:dyDescent="0.25">
      <c r="N232" s="1"/>
    </row>
    <row r="233" spans="14:14" ht="15.75" hidden="1" customHeight="1" x14ac:dyDescent="0.25">
      <c r="N233" s="1"/>
    </row>
    <row r="234" spans="14:14" ht="15.75" hidden="1" customHeight="1" x14ac:dyDescent="0.25">
      <c r="N234" s="1"/>
    </row>
    <row r="235" spans="14:14" ht="15.75" hidden="1" customHeight="1" x14ac:dyDescent="0.25">
      <c r="N235" s="1"/>
    </row>
    <row r="236" spans="14:14" ht="15.75" hidden="1" customHeight="1" x14ac:dyDescent="0.25">
      <c r="N236" s="1"/>
    </row>
    <row r="237" spans="14:14" ht="15.75" hidden="1" customHeight="1" x14ac:dyDescent="0.25">
      <c r="N237" s="1"/>
    </row>
    <row r="238" spans="14:14" ht="15.75" hidden="1" customHeight="1" x14ac:dyDescent="0.25">
      <c r="N238" s="1"/>
    </row>
    <row r="239" spans="14:14" ht="15.75" hidden="1" customHeight="1" x14ac:dyDescent="0.25">
      <c r="N239" s="1"/>
    </row>
    <row r="240" spans="14:14" ht="15.75" hidden="1" customHeight="1" x14ac:dyDescent="0.25">
      <c r="N240" s="1"/>
    </row>
    <row r="241" spans="14:14" ht="15.75" hidden="1" customHeight="1" x14ac:dyDescent="0.25">
      <c r="N241" s="1"/>
    </row>
    <row r="242" spans="14:14" ht="15.75" hidden="1" customHeight="1" x14ac:dyDescent="0.25">
      <c r="N242" s="1"/>
    </row>
    <row r="243" spans="14:14" ht="15.75" hidden="1" customHeight="1" x14ac:dyDescent="0.25">
      <c r="N243" s="1"/>
    </row>
    <row r="244" spans="14:14" ht="15.75" hidden="1" customHeight="1" x14ac:dyDescent="0.25">
      <c r="N244" s="1"/>
    </row>
    <row r="245" spans="14:14" ht="15.75" hidden="1" customHeight="1" x14ac:dyDescent="0.25">
      <c r="N245" s="1"/>
    </row>
    <row r="246" spans="14:14" ht="15.75" hidden="1" customHeight="1" x14ac:dyDescent="0.25">
      <c r="N246" s="1"/>
    </row>
    <row r="247" spans="14:14" ht="15.75" hidden="1" customHeight="1" x14ac:dyDescent="0.25">
      <c r="N247" s="1"/>
    </row>
    <row r="248" spans="14:14" ht="15.75" hidden="1" customHeight="1" x14ac:dyDescent="0.25">
      <c r="N248" s="1"/>
    </row>
    <row r="249" spans="14:14" ht="15.75" hidden="1" customHeight="1" x14ac:dyDescent="0.25">
      <c r="N249" s="1"/>
    </row>
    <row r="250" spans="14:14" ht="15.75" hidden="1" customHeight="1" x14ac:dyDescent="0.25">
      <c r="N250" s="1"/>
    </row>
    <row r="251" spans="14:14" ht="15.75" hidden="1" customHeight="1" x14ac:dyDescent="0.25">
      <c r="N251" s="1"/>
    </row>
    <row r="252" spans="14:14" ht="15.75" hidden="1" customHeight="1" x14ac:dyDescent="0.25">
      <c r="N252" s="1"/>
    </row>
    <row r="253" spans="14:14" ht="15.75" hidden="1" customHeight="1" x14ac:dyDescent="0.25">
      <c r="N253" s="1"/>
    </row>
    <row r="254" spans="14:14" ht="15.75" hidden="1" customHeight="1" x14ac:dyDescent="0.25">
      <c r="N254" s="1"/>
    </row>
    <row r="255" spans="14:14" ht="15.75" hidden="1" customHeight="1" x14ac:dyDescent="0.25">
      <c r="N255" s="1"/>
    </row>
    <row r="256" spans="14:14" ht="15.75" hidden="1" customHeight="1" x14ac:dyDescent="0.25">
      <c r="N256" s="1"/>
    </row>
    <row r="257" spans="14:14" ht="15.75" hidden="1" customHeight="1" x14ac:dyDescent="0.25">
      <c r="N257" s="1"/>
    </row>
    <row r="258" spans="14:14" ht="15.75" hidden="1" customHeight="1" x14ac:dyDescent="0.25">
      <c r="N258" s="1"/>
    </row>
    <row r="259" spans="14:14" ht="15.75" hidden="1" customHeight="1" x14ac:dyDescent="0.25">
      <c r="N259" s="1"/>
    </row>
    <row r="260" spans="14:14" ht="15.75" hidden="1" customHeight="1" x14ac:dyDescent="0.25">
      <c r="N260" s="1"/>
    </row>
    <row r="261" spans="14:14" ht="15.75" hidden="1" customHeight="1" x14ac:dyDescent="0.25">
      <c r="N261" s="1"/>
    </row>
    <row r="262" spans="14:14" ht="15.75" hidden="1" customHeight="1" x14ac:dyDescent="0.25">
      <c r="N262" s="1"/>
    </row>
    <row r="263" spans="14:14" ht="15.75" hidden="1" customHeight="1" x14ac:dyDescent="0.25">
      <c r="N263" s="1"/>
    </row>
    <row r="264" spans="14:14" ht="15.75" hidden="1" customHeight="1" x14ac:dyDescent="0.25">
      <c r="N264" s="1"/>
    </row>
    <row r="265" spans="14:14" ht="15.75" hidden="1" customHeight="1" x14ac:dyDescent="0.25">
      <c r="N265" s="1"/>
    </row>
    <row r="266" spans="14:14" ht="15.75" hidden="1" customHeight="1" x14ac:dyDescent="0.25">
      <c r="N266" s="1"/>
    </row>
    <row r="267" spans="14:14" ht="15.75" hidden="1" customHeight="1" x14ac:dyDescent="0.25">
      <c r="N267" s="1"/>
    </row>
    <row r="268" spans="14:14" ht="15.75" hidden="1" customHeight="1" x14ac:dyDescent="0.25">
      <c r="N268" s="1"/>
    </row>
    <row r="269" spans="14:14" ht="15.75" hidden="1" customHeight="1" x14ac:dyDescent="0.25">
      <c r="N269" s="1"/>
    </row>
    <row r="270" spans="14:14" ht="15.75" hidden="1" customHeight="1" x14ac:dyDescent="0.25">
      <c r="N270" s="1"/>
    </row>
    <row r="271" spans="14:14" ht="15.75" hidden="1" customHeight="1" x14ac:dyDescent="0.25">
      <c r="N271" s="1"/>
    </row>
    <row r="272" spans="14:14" ht="15.75" hidden="1" customHeight="1" x14ac:dyDescent="0.25">
      <c r="N272" s="1"/>
    </row>
    <row r="273" spans="14:14" ht="15.75" hidden="1" customHeight="1" x14ac:dyDescent="0.25">
      <c r="N273" s="1"/>
    </row>
    <row r="274" spans="14:14" ht="15.75" hidden="1" customHeight="1" x14ac:dyDescent="0.25">
      <c r="N274" s="1"/>
    </row>
    <row r="275" spans="14:14" ht="15.75" hidden="1" customHeight="1" x14ac:dyDescent="0.25">
      <c r="N275" s="1"/>
    </row>
    <row r="276" spans="14:14" ht="15.75" hidden="1" customHeight="1" x14ac:dyDescent="0.25">
      <c r="N276" s="1"/>
    </row>
    <row r="277" spans="14:14" ht="15.75" hidden="1" customHeight="1" x14ac:dyDescent="0.25">
      <c r="N277" s="1"/>
    </row>
    <row r="278" spans="14:14" ht="15.75" hidden="1" customHeight="1" x14ac:dyDescent="0.25">
      <c r="N278" s="1"/>
    </row>
    <row r="279" spans="14:14" ht="15.75" hidden="1" customHeight="1" x14ac:dyDescent="0.25">
      <c r="N279" s="1"/>
    </row>
    <row r="280" spans="14:14" ht="15.75" hidden="1" customHeight="1" x14ac:dyDescent="0.25">
      <c r="N280" s="1"/>
    </row>
    <row r="281" spans="14:14" ht="15.75" hidden="1" customHeight="1" x14ac:dyDescent="0.25">
      <c r="N281" s="1"/>
    </row>
    <row r="282" spans="14:14" ht="15.75" hidden="1" customHeight="1" x14ac:dyDescent="0.25">
      <c r="N282" s="1"/>
    </row>
    <row r="283" spans="14:14" ht="15.75" hidden="1" customHeight="1" x14ac:dyDescent="0.25">
      <c r="N283" s="1"/>
    </row>
    <row r="284" spans="14:14" ht="15.75" hidden="1" customHeight="1" x14ac:dyDescent="0.25">
      <c r="N284" s="1"/>
    </row>
    <row r="285" spans="14:14" ht="15.75" hidden="1" customHeight="1" x14ac:dyDescent="0.25">
      <c r="N285" s="1"/>
    </row>
    <row r="286" spans="14:14" ht="15.75" hidden="1" customHeight="1" x14ac:dyDescent="0.25">
      <c r="N286" s="1"/>
    </row>
    <row r="287" spans="14:14" ht="15.75" hidden="1" customHeight="1" x14ac:dyDescent="0.25">
      <c r="N287" s="1"/>
    </row>
    <row r="288" spans="14:14" ht="15.75" hidden="1" customHeight="1" x14ac:dyDescent="0.25">
      <c r="N288" s="1"/>
    </row>
    <row r="289" spans="14:14" ht="15.75" hidden="1" customHeight="1" x14ac:dyDescent="0.25">
      <c r="N289" s="1"/>
    </row>
    <row r="290" spans="14:14" ht="15.75" hidden="1" customHeight="1" x14ac:dyDescent="0.25">
      <c r="N290" s="1"/>
    </row>
    <row r="291" spans="14:14" ht="15.75" hidden="1" customHeight="1" x14ac:dyDescent="0.25">
      <c r="N291" s="1"/>
    </row>
    <row r="292" spans="14:14" ht="15.75" hidden="1" customHeight="1" x14ac:dyDescent="0.25">
      <c r="N292" s="1"/>
    </row>
    <row r="293" spans="14:14" ht="15.75" hidden="1" customHeight="1" x14ac:dyDescent="0.25">
      <c r="N293" s="1"/>
    </row>
    <row r="294" spans="14:14" ht="15.75" hidden="1" customHeight="1" x14ac:dyDescent="0.25">
      <c r="N294" s="1"/>
    </row>
    <row r="295" spans="14:14" ht="15.75" hidden="1" customHeight="1" x14ac:dyDescent="0.25">
      <c r="N295" s="1"/>
    </row>
    <row r="296" spans="14:14" ht="15.75" hidden="1" customHeight="1" x14ac:dyDescent="0.25">
      <c r="N296" s="1"/>
    </row>
    <row r="297" spans="14:14" ht="15.75" hidden="1" customHeight="1" x14ac:dyDescent="0.25">
      <c r="N297" s="1"/>
    </row>
    <row r="298" spans="14:14" ht="15.75" hidden="1" customHeight="1" x14ac:dyDescent="0.25">
      <c r="N298" s="1"/>
    </row>
    <row r="299" spans="14:14" ht="15.75" hidden="1" customHeight="1" x14ac:dyDescent="0.25">
      <c r="N299" s="1"/>
    </row>
    <row r="300" spans="14:14" ht="15.75" hidden="1" customHeight="1" x14ac:dyDescent="0.25">
      <c r="N300" s="1"/>
    </row>
    <row r="301" spans="14:14" ht="15.75" hidden="1" customHeight="1" x14ac:dyDescent="0.25">
      <c r="N301" s="1"/>
    </row>
    <row r="302" spans="14:14" ht="15.75" hidden="1" customHeight="1" x14ac:dyDescent="0.25">
      <c r="N302" s="1"/>
    </row>
    <row r="303" spans="14:14" ht="15.75" hidden="1" customHeight="1" x14ac:dyDescent="0.25">
      <c r="N303" s="1"/>
    </row>
    <row r="304" spans="14:14" ht="15.75" hidden="1" customHeight="1" x14ac:dyDescent="0.25">
      <c r="N304" s="1"/>
    </row>
    <row r="305" spans="14:14" ht="15.75" hidden="1" customHeight="1" x14ac:dyDescent="0.25">
      <c r="N305" s="1"/>
    </row>
    <row r="306" spans="14:14" ht="15.75" hidden="1" customHeight="1" x14ac:dyDescent="0.25">
      <c r="N306" s="1"/>
    </row>
    <row r="307" spans="14:14" ht="15.75" hidden="1" customHeight="1" x14ac:dyDescent="0.25">
      <c r="N307" s="1"/>
    </row>
    <row r="308" spans="14:14" ht="15.75" hidden="1" customHeight="1" x14ac:dyDescent="0.25">
      <c r="N308" s="1"/>
    </row>
    <row r="309" spans="14:14" ht="15.75" hidden="1" customHeight="1" x14ac:dyDescent="0.25">
      <c r="N309" s="1"/>
    </row>
    <row r="310" spans="14:14" ht="15.75" hidden="1" customHeight="1" x14ac:dyDescent="0.25">
      <c r="N310" s="1"/>
    </row>
    <row r="311" spans="14:14" ht="15.75" hidden="1" customHeight="1" x14ac:dyDescent="0.25">
      <c r="N311" s="1"/>
    </row>
    <row r="312" spans="14:14" ht="15.75" hidden="1" customHeight="1" x14ac:dyDescent="0.25">
      <c r="N312" s="1"/>
    </row>
    <row r="313" spans="14:14" ht="15.75" hidden="1" customHeight="1" x14ac:dyDescent="0.25">
      <c r="N313" s="1"/>
    </row>
    <row r="314" spans="14:14" ht="15.75" hidden="1" customHeight="1" x14ac:dyDescent="0.25">
      <c r="N314" s="1"/>
    </row>
    <row r="315" spans="14:14" ht="15.75" hidden="1" customHeight="1" x14ac:dyDescent="0.25">
      <c r="N315" s="1"/>
    </row>
    <row r="316" spans="14:14" ht="15.75" hidden="1" customHeight="1" x14ac:dyDescent="0.25">
      <c r="N316" s="1"/>
    </row>
    <row r="317" spans="14:14" ht="15.75" hidden="1" customHeight="1" x14ac:dyDescent="0.25">
      <c r="N317" s="1"/>
    </row>
    <row r="318" spans="14:14" ht="15.75" hidden="1" customHeight="1" x14ac:dyDescent="0.25">
      <c r="N318" s="1"/>
    </row>
    <row r="319" spans="14:14" ht="15.75" hidden="1" customHeight="1" x14ac:dyDescent="0.25">
      <c r="N319" s="1"/>
    </row>
    <row r="320" spans="14:14" ht="15.75" hidden="1" customHeight="1" x14ac:dyDescent="0.25">
      <c r="N320" s="1"/>
    </row>
    <row r="321" spans="14:14" ht="15.75" hidden="1" customHeight="1" x14ac:dyDescent="0.25">
      <c r="N321" s="1"/>
    </row>
    <row r="322" spans="14:14" ht="15.75" hidden="1" customHeight="1" x14ac:dyDescent="0.25">
      <c r="N322" s="1"/>
    </row>
    <row r="323" spans="14:14" ht="15.75" hidden="1" customHeight="1" x14ac:dyDescent="0.25">
      <c r="N323" s="1"/>
    </row>
    <row r="324" spans="14:14" ht="15.75" hidden="1" customHeight="1" x14ac:dyDescent="0.25">
      <c r="N324" s="1"/>
    </row>
    <row r="325" spans="14:14" ht="15.75" hidden="1" customHeight="1" x14ac:dyDescent="0.25">
      <c r="N325" s="1"/>
    </row>
    <row r="326" spans="14:14" ht="15.75" hidden="1" customHeight="1" x14ac:dyDescent="0.25">
      <c r="N326" s="1"/>
    </row>
    <row r="327" spans="14:14" ht="15.75" hidden="1" customHeight="1" x14ac:dyDescent="0.25">
      <c r="N327" s="1"/>
    </row>
    <row r="328" spans="14:14" ht="15.75" hidden="1" customHeight="1" x14ac:dyDescent="0.25">
      <c r="N328" s="1"/>
    </row>
    <row r="329" spans="14:14" ht="15.75" hidden="1" customHeight="1" x14ac:dyDescent="0.25">
      <c r="N329" s="1"/>
    </row>
    <row r="330" spans="14:14" ht="15.75" hidden="1" customHeight="1" x14ac:dyDescent="0.25">
      <c r="N330" s="1"/>
    </row>
    <row r="331" spans="14:14" ht="15.75" hidden="1" customHeight="1" x14ac:dyDescent="0.25">
      <c r="N331" s="1"/>
    </row>
    <row r="332" spans="14:14" ht="15.75" hidden="1" customHeight="1" x14ac:dyDescent="0.25">
      <c r="N332" s="1"/>
    </row>
    <row r="333" spans="14:14" ht="15.75" hidden="1" customHeight="1" x14ac:dyDescent="0.25">
      <c r="N333" s="1"/>
    </row>
    <row r="334" spans="14:14" ht="15.75" hidden="1" customHeight="1" x14ac:dyDescent="0.25">
      <c r="N334" s="1"/>
    </row>
    <row r="335" spans="14:14" ht="15.75" hidden="1" customHeight="1" x14ac:dyDescent="0.25">
      <c r="N335" s="1"/>
    </row>
    <row r="336" spans="14:14" ht="15.75" hidden="1" customHeight="1" x14ac:dyDescent="0.25">
      <c r="N336" s="1"/>
    </row>
    <row r="337" spans="14:14" ht="15.75" hidden="1" customHeight="1" x14ac:dyDescent="0.25">
      <c r="N337" s="1"/>
    </row>
    <row r="338" spans="14:14" ht="15.75" hidden="1" customHeight="1" x14ac:dyDescent="0.25">
      <c r="N338" s="1"/>
    </row>
    <row r="339" spans="14:14" ht="15.75" hidden="1" customHeight="1" x14ac:dyDescent="0.25">
      <c r="N339" s="1"/>
    </row>
    <row r="340" spans="14:14" ht="15.75" hidden="1" customHeight="1" x14ac:dyDescent="0.25">
      <c r="N340" s="1"/>
    </row>
    <row r="341" spans="14:14" ht="15.75" hidden="1" customHeight="1" x14ac:dyDescent="0.25">
      <c r="N341" s="1"/>
    </row>
    <row r="342" spans="14:14" ht="15.75" hidden="1" customHeight="1" x14ac:dyDescent="0.25">
      <c r="N342" s="1"/>
    </row>
    <row r="343" spans="14:14" ht="15.75" hidden="1" customHeight="1" x14ac:dyDescent="0.25">
      <c r="N343" s="1"/>
    </row>
    <row r="344" spans="14:14" ht="15.75" hidden="1" customHeight="1" x14ac:dyDescent="0.25">
      <c r="N344" s="1"/>
    </row>
    <row r="345" spans="14:14" ht="15.75" hidden="1" customHeight="1" x14ac:dyDescent="0.25">
      <c r="N345" s="1"/>
    </row>
    <row r="346" spans="14:14" ht="15.75" hidden="1" customHeight="1" x14ac:dyDescent="0.25">
      <c r="N346" s="1"/>
    </row>
    <row r="347" spans="14:14" ht="15.75" hidden="1" customHeight="1" x14ac:dyDescent="0.25">
      <c r="N347" s="1"/>
    </row>
    <row r="348" spans="14:14" ht="15.75" hidden="1" customHeight="1" x14ac:dyDescent="0.25">
      <c r="N348" s="1"/>
    </row>
    <row r="349" spans="14:14" ht="15.75" hidden="1" customHeight="1" x14ac:dyDescent="0.25">
      <c r="N349" s="1"/>
    </row>
    <row r="350" spans="14:14" ht="15.75" hidden="1" customHeight="1" x14ac:dyDescent="0.25">
      <c r="N350" s="1"/>
    </row>
    <row r="351" spans="14:14" ht="15.75" hidden="1" customHeight="1" x14ac:dyDescent="0.25">
      <c r="N351" s="1"/>
    </row>
    <row r="352" spans="14:14" ht="15.75" hidden="1" customHeight="1" x14ac:dyDescent="0.25">
      <c r="N352" s="1"/>
    </row>
    <row r="353" spans="14:14" ht="15.75" hidden="1" customHeight="1" x14ac:dyDescent="0.25">
      <c r="N353" s="1"/>
    </row>
    <row r="354" spans="14:14" ht="15.75" hidden="1" customHeight="1" x14ac:dyDescent="0.25">
      <c r="N354" s="1"/>
    </row>
    <row r="355" spans="14:14" ht="15.75" hidden="1" customHeight="1" x14ac:dyDescent="0.25">
      <c r="N355" s="1"/>
    </row>
    <row r="356" spans="14:14" ht="15.75" hidden="1" customHeight="1" x14ac:dyDescent="0.25">
      <c r="N356" s="1"/>
    </row>
    <row r="357" spans="14:14" ht="15.75" hidden="1" customHeight="1" x14ac:dyDescent="0.25">
      <c r="N357" s="1"/>
    </row>
    <row r="358" spans="14:14" ht="15.75" hidden="1" customHeight="1" x14ac:dyDescent="0.25">
      <c r="N358" s="1"/>
    </row>
    <row r="359" spans="14:14" ht="15.75" hidden="1" customHeight="1" x14ac:dyDescent="0.25">
      <c r="N359" s="1"/>
    </row>
    <row r="360" spans="14:14" ht="15.75" hidden="1" customHeight="1" x14ac:dyDescent="0.25">
      <c r="N360" s="1"/>
    </row>
    <row r="361" spans="14:14" ht="15.75" hidden="1" customHeight="1" x14ac:dyDescent="0.25">
      <c r="N361" s="1"/>
    </row>
    <row r="362" spans="14:14" ht="15.75" hidden="1" customHeight="1" x14ac:dyDescent="0.25">
      <c r="N362" s="1"/>
    </row>
    <row r="363" spans="14:14" ht="15.75" hidden="1" customHeight="1" x14ac:dyDescent="0.25">
      <c r="N363" s="1"/>
    </row>
    <row r="364" spans="14:14" ht="15.75" hidden="1" customHeight="1" x14ac:dyDescent="0.25">
      <c r="N364" s="1"/>
    </row>
    <row r="365" spans="14:14" ht="15.75" hidden="1" customHeight="1" x14ac:dyDescent="0.25">
      <c r="N365" s="1"/>
    </row>
    <row r="366" spans="14:14" ht="15.75" hidden="1" customHeight="1" x14ac:dyDescent="0.25">
      <c r="N366" s="1"/>
    </row>
    <row r="367" spans="14:14" ht="15.75" hidden="1" customHeight="1" x14ac:dyDescent="0.25">
      <c r="N367" s="1"/>
    </row>
    <row r="368" spans="14:14" ht="15.75" hidden="1" customHeight="1" x14ac:dyDescent="0.25">
      <c r="N368" s="1"/>
    </row>
    <row r="369" spans="14:14" ht="15.75" hidden="1" customHeight="1" x14ac:dyDescent="0.25">
      <c r="N369" s="1"/>
    </row>
    <row r="370" spans="14:14" ht="15.75" hidden="1" customHeight="1" x14ac:dyDescent="0.25">
      <c r="N370" s="1"/>
    </row>
    <row r="371" spans="14:14" ht="15.75" hidden="1" customHeight="1" x14ac:dyDescent="0.25">
      <c r="N371" s="1"/>
    </row>
    <row r="372" spans="14:14" ht="15.75" hidden="1" customHeight="1" x14ac:dyDescent="0.25">
      <c r="N372" s="1"/>
    </row>
    <row r="373" spans="14:14" ht="15.75" hidden="1" customHeight="1" x14ac:dyDescent="0.25">
      <c r="N373" s="1"/>
    </row>
    <row r="374" spans="14:14" ht="15.75" hidden="1" customHeight="1" x14ac:dyDescent="0.25">
      <c r="N374" s="1"/>
    </row>
    <row r="375" spans="14:14" ht="15.75" hidden="1" customHeight="1" x14ac:dyDescent="0.25">
      <c r="N375" s="1"/>
    </row>
    <row r="376" spans="14:14" ht="15.75" hidden="1" customHeight="1" x14ac:dyDescent="0.25">
      <c r="N376" s="1"/>
    </row>
    <row r="377" spans="14:14" ht="15.75" hidden="1" customHeight="1" x14ac:dyDescent="0.25">
      <c r="N377" s="1"/>
    </row>
    <row r="378" spans="14:14" ht="15.75" hidden="1" customHeight="1" x14ac:dyDescent="0.25">
      <c r="N378" s="1"/>
    </row>
    <row r="379" spans="14:14" ht="15.75" hidden="1" customHeight="1" x14ac:dyDescent="0.25">
      <c r="N379" s="1"/>
    </row>
    <row r="380" spans="14:14" ht="15.75" hidden="1" customHeight="1" x14ac:dyDescent="0.25">
      <c r="N380" s="1"/>
    </row>
    <row r="381" spans="14:14" ht="15.75" hidden="1" customHeight="1" x14ac:dyDescent="0.25">
      <c r="N381" s="1"/>
    </row>
    <row r="382" spans="14:14" ht="15.75" hidden="1" customHeight="1" x14ac:dyDescent="0.25">
      <c r="N382" s="1"/>
    </row>
    <row r="383" spans="14:14" ht="15.75" hidden="1" customHeight="1" x14ac:dyDescent="0.25">
      <c r="N383" s="1"/>
    </row>
    <row r="384" spans="14:14" ht="15.75" hidden="1" customHeight="1" x14ac:dyDescent="0.25">
      <c r="N384" s="1"/>
    </row>
    <row r="385" spans="14:14" ht="15.75" hidden="1" customHeight="1" x14ac:dyDescent="0.25">
      <c r="N385" s="1"/>
    </row>
    <row r="386" spans="14:14" ht="15.75" hidden="1" customHeight="1" x14ac:dyDescent="0.25">
      <c r="N386" s="1"/>
    </row>
    <row r="387" spans="14:14" ht="15.75" hidden="1" customHeight="1" x14ac:dyDescent="0.25">
      <c r="N387" s="1"/>
    </row>
    <row r="388" spans="14:14" ht="15.75" hidden="1" customHeight="1" x14ac:dyDescent="0.25">
      <c r="N388" s="1"/>
    </row>
    <row r="389" spans="14:14" ht="15.75" hidden="1" customHeight="1" x14ac:dyDescent="0.25">
      <c r="N389" s="1"/>
    </row>
    <row r="390" spans="14:14" ht="15.75" hidden="1" customHeight="1" x14ac:dyDescent="0.25">
      <c r="N390" s="1"/>
    </row>
    <row r="391" spans="14:14" ht="15.75" hidden="1" customHeight="1" x14ac:dyDescent="0.25">
      <c r="N391" s="1"/>
    </row>
    <row r="392" spans="14:14" ht="15.75" hidden="1" customHeight="1" x14ac:dyDescent="0.25">
      <c r="N392" s="1"/>
    </row>
    <row r="393" spans="14:14" ht="15.75" hidden="1" customHeight="1" x14ac:dyDescent="0.25">
      <c r="N393" s="1"/>
    </row>
    <row r="394" spans="14:14" ht="15.75" hidden="1" customHeight="1" x14ac:dyDescent="0.25">
      <c r="N394" s="1"/>
    </row>
    <row r="395" spans="14:14" ht="15.75" hidden="1" customHeight="1" x14ac:dyDescent="0.25">
      <c r="N395" s="1"/>
    </row>
    <row r="396" spans="14:14" ht="15.75" hidden="1" customHeight="1" x14ac:dyDescent="0.25">
      <c r="N396" s="1"/>
    </row>
    <row r="397" spans="14:14" ht="15.75" hidden="1" customHeight="1" x14ac:dyDescent="0.25">
      <c r="N397" s="1"/>
    </row>
    <row r="398" spans="14:14" ht="15.75" hidden="1" customHeight="1" x14ac:dyDescent="0.25">
      <c r="N398" s="1"/>
    </row>
    <row r="399" spans="14:14" ht="15.75" hidden="1" customHeight="1" x14ac:dyDescent="0.25">
      <c r="N399" s="1"/>
    </row>
    <row r="400" spans="14:14" ht="15.75" hidden="1" customHeight="1" x14ac:dyDescent="0.25">
      <c r="N400" s="1"/>
    </row>
    <row r="401" spans="14:14" ht="15.75" hidden="1" customHeight="1" x14ac:dyDescent="0.25">
      <c r="N401" s="1"/>
    </row>
    <row r="402" spans="14:14" ht="15.75" hidden="1" customHeight="1" x14ac:dyDescent="0.25">
      <c r="N402" s="1"/>
    </row>
    <row r="403" spans="14:14" ht="15.75" hidden="1" customHeight="1" x14ac:dyDescent="0.25">
      <c r="N403" s="1"/>
    </row>
    <row r="404" spans="14:14" ht="15.75" hidden="1" customHeight="1" x14ac:dyDescent="0.25">
      <c r="N404" s="1"/>
    </row>
    <row r="405" spans="14:14" ht="15.75" hidden="1" customHeight="1" x14ac:dyDescent="0.25">
      <c r="N405" s="1"/>
    </row>
    <row r="406" spans="14:14" ht="15.75" hidden="1" customHeight="1" x14ac:dyDescent="0.25">
      <c r="N406" s="1"/>
    </row>
    <row r="407" spans="14:14" ht="15.75" hidden="1" customHeight="1" x14ac:dyDescent="0.25">
      <c r="N407" s="1"/>
    </row>
    <row r="408" spans="14:14" ht="15.75" hidden="1" customHeight="1" x14ac:dyDescent="0.25">
      <c r="N408" s="1"/>
    </row>
    <row r="409" spans="14:14" ht="15.75" hidden="1" customHeight="1" x14ac:dyDescent="0.25">
      <c r="N409" s="1"/>
    </row>
    <row r="410" spans="14:14" ht="15.75" hidden="1" customHeight="1" x14ac:dyDescent="0.25">
      <c r="N410" s="1"/>
    </row>
    <row r="411" spans="14:14" ht="15.75" hidden="1" customHeight="1" x14ac:dyDescent="0.25">
      <c r="N411" s="1"/>
    </row>
    <row r="412" spans="14:14" ht="15.75" hidden="1" customHeight="1" x14ac:dyDescent="0.25">
      <c r="N412" s="1"/>
    </row>
    <row r="413" spans="14:14" ht="15.75" hidden="1" customHeight="1" x14ac:dyDescent="0.25">
      <c r="N413" s="1"/>
    </row>
    <row r="414" spans="14:14" ht="15.75" hidden="1" customHeight="1" x14ac:dyDescent="0.25">
      <c r="N414" s="1"/>
    </row>
    <row r="415" spans="14:14" ht="15.75" hidden="1" customHeight="1" x14ac:dyDescent="0.25">
      <c r="N415" s="1"/>
    </row>
    <row r="416" spans="14:14" ht="15.75" hidden="1" customHeight="1" x14ac:dyDescent="0.25">
      <c r="N416" s="1"/>
    </row>
    <row r="417" spans="14:14" ht="15.75" hidden="1" customHeight="1" x14ac:dyDescent="0.25">
      <c r="N417" s="1"/>
    </row>
    <row r="418" spans="14:14" ht="15.75" hidden="1" customHeight="1" x14ac:dyDescent="0.25">
      <c r="N418" s="1"/>
    </row>
    <row r="419" spans="14:14" ht="15.75" hidden="1" customHeight="1" x14ac:dyDescent="0.25">
      <c r="N419" s="1"/>
    </row>
    <row r="420" spans="14:14" ht="15.75" hidden="1" customHeight="1" x14ac:dyDescent="0.25">
      <c r="N420" s="1"/>
    </row>
    <row r="421" spans="14:14" ht="15.75" hidden="1" customHeight="1" x14ac:dyDescent="0.25">
      <c r="N421" s="1"/>
    </row>
    <row r="422" spans="14:14" ht="15.75" hidden="1" customHeight="1" x14ac:dyDescent="0.25">
      <c r="N422" s="1"/>
    </row>
    <row r="423" spans="14:14" ht="15.75" hidden="1" customHeight="1" x14ac:dyDescent="0.25">
      <c r="N423" s="1"/>
    </row>
    <row r="424" spans="14:14" ht="15.75" hidden="1" customHeight="1" x14ac:dyDescent="0.25">
      <c r="N424" s="1"/>
    </row>
    <row r="425" spans="14:14" ht="15.75" hidden="1" customHeight="1" x14ac:dyDescent="0.25">
      <c r="N425" s="1"/>
    </row>
    <row r="426" spans="14:14" ht="15.75" hidden="1" customHeight="1" x14ac:dyDescent="0.25">
      <c r="N426" s="1"/>
    </row>
    <row r="427" spans="14:14" ht="15.75" hidden="1" customHeight="1" x14ac:dyDescent="0.25">
      <c r="N427" s="1"/>
    </row>
    <row r="428" spans="14:14" ht="15.75" hidden="1" customHeight="1" x14ac:dyDescent="0.25">
      <c r="N428" s="1"/>
    </row>
    <row r="429" spans="14:14" ht="15.75" hidden="1" customHeight="1" x14ac:dyDescent="0.25">
      <c r="N429" s="1"/>
    </row>
    <row r="430" spans="14:14" ht="15.75" hidden="1" customHeight="1" x14ac:dyDescent="0.25">
      <c r="N430" s="1"/>
    </row>
    <row r="431" spans="14:14" ht="15.75" hidden="1" customHeight="1" x14ac:dyDescent="0.25">
      <c r="N431" s="1"/>
    </row>
    <row r="432" spans="14:14" ht="15.75" hidden="1" customHeight="1" x14ac:dyDescent="0.25">
      <c r="N432" s="1"/>
    </row>
    <row r="433" spans="14:14" ht="15.75" hidden="1" customHeight="1" x14ac:dyDescent="0.25">
      <c r="N433" s="1"/>
    </row>
    <row r="434" spans="14:14" ht="15.75" hidden="1" customHeight="1" x14ac:dyDescent="0.25">
      <c r="N434" s="1"/>
    </row>
    <row r="435" spans="14:14" ht="15.75" hidden="1" customHeight="1" x14ac:dyDescent="0.25">
      <c r="N435" s="1"/>
    </row>
    <row r="436" spans="14:14" ht="15.75" hidden="1" customHeight="1" x14ac:dyDescent="0.25">
      <c r="N436" s="1"/>
    </row>
    <row r="437" spans="14:14" ht="15.75" hidden="1" customHeight="1" x14ac:dyDescent="0.25">
      <c r="N437" s="1"/>
    </row>
    <row r="438" spans="14:14" ht="15.75" hidden="1" customHeight="1" x14ac:dyDescent="0.25">
      <c r="N438" s="1"/>
    </row>
    <row r="439" spans="14:14" ht="15.75" hidden="1" customHeight="1" x14ac:dyDescent="0.25">
      <c r="N439" s="1"/>
    </row>
    <row r="440" spans="14:14" ht="15.75" hidden="1" customHeight="1" x14ac:dyDescent="0.25">
      <c r="N440" s="1"/>
    </row>
    <row r="441" spans="14:14" ht="15.75" hidden="1" customHeight="1" x14ac:dyDescent="0.25">
      <c r="N441" s="1"/>
    </row>
    <row r="442" spans="14:14" ht="15.75" hidden="1" customHeight="1" x14ac:dyDescent="0.25">
      <c r="N442" s="1"/>
    </row>
    <row r="443" spans="14:14" ht="15.75" hidden="1" customHeight="1" x14ac:dyDescent="0.25">
      <c r="N443" s="1"/>
    </row>
    <row r="444" spans="14:14" ht="15.75" hidden="1" customHeight="1" x14ac:dyDescent="0.25">
      <c r="N444" s="1"/>
    </row>
    <row r="445" spans="14:14" ht="15.75" hidden="1" customHeight="1" x14ac:dyDescent="0.25">
      <c r="N445" s="1"/>
    </row>
    <row r="446" spans="14:14" ht="15.75" hidden="1" customHeight="1" x14ac:dyDescent="0.25">
      <c r="N446" s="1"/>
    </row>
    <row r="447" spans="14:14" ht="15.75" hidden="1" customHeight="1" x14ac:dyDescent="0.25">
      <c r="N447" s="1"/>
    </row>
    <row r="448" spans="14:14" ht="15.75" hidden="1" customHeight="1" x14ac:dyDescent="0.25">
      <c r="N448" s="1"/>
    </row>
    <row r="449" spans="14:14" ht="15.75" hidden="1" customHeight="1" x14ac:dyDescent="0.25">
      <c r="N449" s="1"/>
    </row>
    <row r="450" spans="14:14" ht="15.75" hidden="1" customHeight="1" x14ac:dyDescent="0.25">
      <c r="N450" s="1"/>
    </row>
    <row r="451" spans="14:14" ht="15.75" hidden="1" customHeight="1" x14ac:dyDescent="0.25">
      <c r="N451" s="1"/>
    </row>
    <row r="452" spans="14:14" ht="15.75" hidden="1" customHeight="1" x14ac:dyDescent="0.25">
      <c r="N452" s="1"/>
    </row>
    <row r="453" spans="14:14" ht="15.75" hidden="1" customHeight="1" x14ac:dyDescent="0.25">
      <c r="N453" s="1"/>
    </row>
    <row r="454" spans="14:14" ht="15.75" hidden="1" customHeight="1" x14ac:dyDescent="0.25">
      <c r="N454" s="1"/>
    </row>
    <row r="455" spans="14:14" ht="15.75" hidden="1" customHeight="1" x14ac:dyDescent="0.25">
      <c r="N455" s="1"/>
    </row>
    <row r="456" spans="14:14" ht="15.75" hidden="1" customHeight="1" x14ac:dyDescent="0.25">
      <c r="N456" s="1"/>
    </row>
    <row r="457" spans="14:14" ht="15.75" hidden="1" customHeight="1" x14ac:dyDescent="0.25">
      <c r="N457" s="1"/>
    </row>
    <row r="458" spans="14:14" ht="15.75" hidden="1" customHeight="1" x14ac:dyDescent="0.25">
      <c r="N458" s="1"/>
    </row>
    <row r="459" spans="14:14" ht="15.75" hidden="1" customHeight="1" x14ac:dyDescent="0.25">
      <c r="N459" s="1"/>
    </row>
    <row r="460" spans="14:14" ht="15.75" hidden="1" customHeight="1" x14ac:dyDescent="0.25">
      <c r="N460" s="1"/>
    </row>
    <row r="461" spans="14:14" ht="15.75" hidden="1" customHeight="1" x14ac:dyDescent="0.25">
      <c r="N461" s="1"/>
    </row>
    <row r="462" spans="14:14" ht="15.75" hidden="1" customHeight="1" x14ac:dyDescent="0.25">
      <c r="N462" s="1"/>
    </row>
    <row r="463" spans="14:14" ht="15.75" hidden="1" customHeight="1" x14ac:dyDescent="0.25">
      <c r="N463" s="1"/>
    </row>
    <row r="464" spans="14:14" ht="15.75" hidden="1" customHeight="1" x14ac:dyDescent="0.25">
      <c r="N464" s="1"/>
    </row>
    <row r="465" spans="14:14" ht="15.75" hidden="1" customHeight="1" x14ac:dyDescent="0.25">
      <c r="N465" s="1"/>
    </row>
    <row r="466" spans="14:14" ht="15.75" hidden="1" customHeight="1" x14ac:dyDescent="0.25">
      <c r="N466" s="1"/>
    </row>
    <row r="467" spans="14:14" ht="15.75" hidden="1" customHeight="1" x14ac:dyDescent="0.25">
      <c r="N467" s="1"/>
    </row>
    <row r="468" spans="14:14" ht="15.75" hidden="1" customHeight="1" x14ac:dyDescent="0.25">
      <c r="N468" s="1"/>
    </row>
    <row r="469" spans="14:14" ht="15.75" hidden="1" customHeight="1" x14ac:dyDescent="0.25">
      <c r="N469" s="1"/>
    </row>
    <row r="470" spans="14:14" ht="15.75" hidden="1" customHeight="1" x14ac:dyDescent="0.25">
      <c r="N470" s="1"/>
    </row>
    <row r="471" spans="14:14" ht="15.75" hidden="1" customHeight="1" x14ac:dyDescent="0.25">
      <c r="N471" s="1"/>
    </row>
    <row r="472" spans="14:14" ht="15.75" hidden="1" customHeight="1" x14ac:dyDescent="0.25">
      <c r="N472" s="1"/>
    </row>
    <row r="473" spans="14:14" ht="15.75" hidden="1" customHeight="1" x14ac:dyDescent="0.25">
      <c r="N473" s="1"/>
    </row>
    <row r="474" spans="14:14" ht="15.75" hidden="1" customHeight="1" x14ac:dyDescent="0.25">
      <c r="N474" s="1"/>
    </row>
    <row r="475" spans="14:14" ht="15.75" hidden="1" customHeight="1" x14ac:dyDescent="0.25">
      <c r="N475" s="1"/>
    </row>
    <row r="476" spans="14:14" ht="15.75" hidden="1" customHeight="1" x14ac:dyDescent="0.25">
      <c r="N476" s="1"/>
    </row>
    <row r="477" spans="14:14" ht="15.75" hidden="1" customHeight="1" x14ac:dyDescent="0.25">
      <c r="N477" s="1"/>
    </row>
    <row r="478" spans="14:14" ht="15.75" hidden="1" customHeight="1" x14ac:dyDescent="0.25">
      <c r="N478" s="1"/>
    </row>
    <row r="479" spans="14:14" ht="15.75" hidden="1" customHeight="1" x14ac:dyDescent="0.25">
      <c r="N479" s="1"/>
    </row>
    <row r="480" spans="14:14" ht="15.75" hidden="1" customHeight="1" x14ac:dyDescent="0.25">
      <c r="N480" s="1"/>
    </row>
    <row r="481" spans="14:14" ht="15.75" hidden="1" customHeight="1" x14ac:dyDescent="0.25">
      <c r="N481" s="1"/>
    </row>
    <row r="482" spans="14:14" ht="15.75" hidden="1" customHeight="1" x14ac:dyDescent="0.25">
      <c r="N482" s="1"/>
    </row>
    <row r="483" spans="14:14" ht="15.75" hidden="1" customHeight="1" x14ac:dyDescent="0.25">
      <c r="N483" s="1"/>
    </row>
    <row r="484" spans="14:14" ht="15.75" hidden="1" customHeight="1" x14ac:dyDescent="0.25">
      <c r="N484" s="1"/>
    </row>
    <row r="485" spans="14:14" ht="15.75" hidden="1" customHeight="1" x14ac:dyDescent="0.25">
      <c r="N485" s="1"/>
    </row>
    <row r="486" spans="14:14" ht="15.75" hidden="1" customHeight="1" x14ac:dyDescent="0.25">
      <c r="N486" s="1"/>
    </row>
    <row r="487" spans="14:14" ht="15.75" hidden="1" customHeight="1" x14ac:dyDescent="0.25">
      <c r="N487" s="1"/>
    </row>
    <row r="488" spans="14:14" ht="15.75" hidden="1" customHeight="1" x14ac:dyDescent="0.25">
      <c r="N488" s="1"/>
    </row>
    <row r="489" spans="14:14" ht="15.75" hidden="1" customHeight="1" x14ac:dyDescent="0.25">
      <c r="N489" s="1"/>
    </row>
    <row r="490" spans="14:14" ht="15.75" hidden="1" customHeight="1" x14ac:dyDescent="0.25">
      <c r="N490" s="1"/>
    </row>
    <row r="491" spans="14:14" ht="15.75" hidden="1" customHeight="1" x14ac:dyDescent="0.25">
      <c r="N491" s="1"/>
    </row>
    <row r="492" spans="14:14" ht="15.75" hidden="1" customHeight="1" x14ac:dyDescent="0.25">
      <c r="N492" s="1"/>
    </row>
    <row r="493" spans="14:14" ht="15.75" hidden="1" customHeight="1" x14ac:dyDescent="0.25">
      <c r="N493" s="1"/>
    </row>
    <row r="494" spans="14:14" ht="15.75" hidden="1" customHeight="1" x14ac:dyDescent="0.25">
      <c r="N494" s="1"/>
    </row>
    <row r="495" spans="14:14" ht="15.75" hidden="1" customHeight="1" x14ac:dyDescent="0.25">
      <c r="N495" s="1"/>
    </row>
    <row r="496" spans="14:14" ht="15.75" hidden="1" customHeight="1" x14ac:dyDescent="0.25">
      <c r="N496" s="1"/>
    </row>
    <row r="497" spans="14:14" ht="15.75" hidden="1" customHeight="1" x14ac:dyDescent="0.25">
      <c r="N497" s="1"/>
    </row>
    <row r="498" spans="14:14" ht="15.75" hidden="1" customHeight="1" x14ac:dyDescent="0.25">
      <c r="N498" s="1"/>
    </row>
    <row r="499" spans="14:14" ht="15.75" hidden="1" customHeight="1" x14ac:dyDescent="0.25">
      <c r="N499" s="1"/>
    </row>
    <row r="500" spans="14:14" ht="15.75" hidden="1" customHeight="1" x14ac:dyDescent="0.25">
      <c r="N500" s="1"/>
    </row>
    <row r="501" spans="14:14" ht="15.75" hidden="1" customHeight="1" x14ac:dyDescent="0.25">
      <c r="N501" s="1"/>
    </row>
    <row r="502" spans="14:14" ht="15.75" hidden="1" customHeight="1" x14ac:dyDescent="0.25">
      <c r="N502" s="1"/>
    </row>
    <row r="503" spans="14:14" ht="15.75" hidden="1" customHeight="1" x14ac:dyDescent="0.25">
      <c r="N503" s="1"/>
    </row>
    <row r="504" spans="14:14" ht="15.75" hidden="1" customHeight="1" x14ac:dyDescent="0.25">
      <c r="N504" s="1"/>
    </row>
    <row r="505" spans="14:14" ht="15.75" hidden="1" customHeight="1" x14ac:dyDescent="0.25">
      <c r="N505" s="1"/>
    </row>
    <row r="506" spans="14:14" ht="15.75" hidden="1" customHeight="1" x14ac:dyDescent="0.25">
      <c r="N506" s="1"/>
    </row>
    <row r="507" spans="14:14" ht="15.75" hidden="1" customHeight="1" x14ac:dyDescent="0.25">
      <c r="N507" s="1"/>
    </row>
    <row r="508" spans="14:14" ht="15.75" hidden="1" customHeight="1" x14ac:dyDescent="0.25">
      <c r="N508" s="1"/>
    </row>
    <row r="509" spans="14:14" ht="15.75" hidden="1" customHeight="1" x14ac:dyDescent="0.25">
      <c r="N509" s="1"/>
    </row>
    <row r="510" spans="14:14" ht="15.75" hidden="1" customHeight="1" x14ac:dyDescent="0.25">
      <c r="N510" s="1"/>
    </row>
    <row r="511" spans="14:14" ht="15.75" hidden="1" customHeight="1" x14ac:dyDescent="0.25">
      <c r="N511" s="1"/>
    </row>
    <row r="512" spans="14:14" ht="15.75" hidden="1" customHeight="1" x14ac:dyDescent="0.25">
      <c r="N512" s="1"/>
    </row>
    <row r="513" spans="14:14" ht="15.75" hidden="1" customHeight="1" x14ac:dyDescent="0.25">
      <c r="N513" s="1"/>
    </row>
    <row r="514" spans="14:14" ht="15.75" hidden="1" customHeight="1" x14ac:dyDescent="0.25">
      <c r="N514" s="1"/>
    </row>
    <row r="515" spans="14:14" ht="15.75" hidden="1" customHeight="1" x14ac:dyDescent="0.25">
      <c r="N515" s="1"/>
    </row>
    <row r="516" spans="14:14" ht="15.75" hidden="1" customHeight="1" x14ac:dyDescent="0.25">
      <c r="N516" s="1"/>
    </row>
    <row r="517" spans="14:14" ht="15.75" hidden="1" customHeight="1" x14ac:dyDescent="0.25">
      <c r="N517" s="1"/>
    </row>
    <row r="518" spans="14:14" ht="15.75" hidden="1" customHeight="1" x14ac:dyDescent="0.25">
      <c r="N518" s="1"/>
    </row>
    <row r="519" spans="14:14" ht="15.75" hidden="1" customHeight="1" x14ac:dyDescent="0.25">
      <c r="N519" s="1"/>
    </row>
    <row r="520" spans="14:14" ht="15.75" hidden="1" customHeight="1" x14ac:dyDescent="0.25">
      <c r="N520" s="1"/>
    </row>
    <row r="521" spans="14:14" ht="15.75" hidden="1" customHeight="1" x14ac:dyDescent="0.25">
      <c r="N521" s="1"/>
    </row>
    <row r="522" spans="14:14" ht="15.75" hidden="1" customHeight="1" x14ac:dyDescent="0.25">
      <c r="N522" s="1"/>
    </row>
    <row r="523" spans="14:14" ht="15.75" hidden="1" customHeight="1" x14ac:dyDescent="0.25">
      <c r="N523" s="1"/>
    </row>
    <row r="524" spans="14:14" ht="15.75" hidden="1" customHeight="1" x14ac:dyDescent="0.25">
      <c r="N524" s="1"/>
    </row>
    <row r="525" spans="14:14" ht="15.75" hidden="1" customHeight="1" x14ac:dyDescent="0.25">
      <c r="N525" s="1"/>
    </row>
    <row r="526" spans="14:14" ht="15.75" hidden="1" customHeight="1" x14ac:dyDescent="0.25">
      <c r="N526" s="1"/>
    </row>
    <row r="527" spans="14:14" ht="15.75" hidden="1" customHeight="1" x14ac:dyDescent="0.25">
      <c r="N527" s="1"/>
    </row>
    <row r="528" spans="14:14" ht="15.75" hidden="1" customHeight="1" x14ac:dyDescent="0.25">
      <c r="N528" s="1"/>
    </row>
    <row r="529" spans="14:14" ht="15.75" hidden="1" customHeight="1" x14ac:dyDescent="0.25">
      <c r="N529" s="1"/>
    </row>
    <row r="530" spans="14:14" ht="15.75" hidden="1" customHeight="1" x14ac:dyDescent="0.25">
      <c r="N530" s="1"/>
    </row>
    <row r="531" spans="14:14" ht="15.75" hidden="1" customHeight="1" x14ac:dyDescent="0.25">
      <c r="N531" s="1"/>
    </row>
    <row r="532" spans="14:14" ht="15.75" hidden="1" customHeight="1" x14ac:dyDescent="0.25">
      <c r="N532" s="1"/>
    </row>
    <row r="533" spans="14:14" ht="15.75" hidden="1" customHeight="1" x14ac:dyDescent="0.25">
      <c r="N533" s="1"/>
    </row>
    <row r="534" spans="14:14" ht="15.75" hidden="1" customHeight="1" x14ac:dyDescent="0.25">
      <c r="N534" s="1"/>
    </row>
    <row r="535" spans="14:14" ht="15.75" hidden="1" customHeight="1" x14ac:dyDescent="0.25">
      <c r="N535" s="1"/>
    </row>
    <row r="536" spans="14:14" ht="15.75" hidden="1" customHeight="1" x14ac:dyDescent="0.25">
      <c r="N536" s="1"/>
    </row>
    <row r="537" spans="14:14" ht="15.75" hidden="1" customHeight="1" x14ac:dyDescent="0.25">
      <c r="N537" s="1"/>
    </row>
    <row r="538" spans="14:14" ht="15.75" hidden="1" customHeight="1" x14ac:dyDescent="0.25">
      <c r="N538" s="1"/>
    </row>
    <row r="539" spans="14:14" ht="15.75" hidden="1" customHeight="1" x14ac:dyDescent="0.25">
      <c r="N539" s="1"/>
    </row>
    <row r="540" spans="14:14" ht="15.75" hidden="1" customHeight="1" x14ac:dyDescent="0.25">
      <c r="N540" s="1"/>
    </row>
    <row r="541" spans="14:14" ht="15.75" hidden="1" customHeight="1" x14ac:dyDescent="0.25">
      <c r="N541" s="1"/>
    </row>
    <row r="542" spans="14:14" ht="15.75" hidden="1" customHeight="1" x14ac:dyDescent="0.25">
      <c r="N542" s="1"/>
    </row>
    <row r="543" spans="14:14" ht="15.75" hidden="1" customHeight="1" x14ac:dyDescent="0.25">
      <c r="N543" s="1"/>
    </row>
    <row r="544" spans="14:14" ht="15.75" hidden="1" customHeight="1" x14ac:dyDescent="0.25">
      <c r="N544" s="1"/>
    </row>
    <row r="545" spans="14:14" ht="15.75" hidden="1" customHeight="1" x14ac:dyDescent="0.25">
      <c r="N545" s="1"/>
    </row>
    <row r="546" spans="14:14" ht="15.75" hidden="1" customHeight="1" x14ac:dyDescent="0.25">
      <c r="N546" s="1"/>
    </row>
    <row r="547" spans="14:14" ht="15.75" hidden="1" customHeight="1" x14ac:dyDescent="0.25">
      <c r="N547" s="1"/>
    </row>
    <row r="548" spans="14:14" ht="15.75" hidden="1" customHeight="1" x14ac:dyDescent="0.25">
      <c r="N548" s="1"/>
    </row>
    <row r="549" spans="14:14" ht="15.75" hidden="1" customHeight="1" x14ac:dyDescent="0.25">
      <c r="N549" s="1"/>
    </row>
    <row r="550" spans="14:14" ht="15.75" hidden="1" customHeight="1" x14ac:dyDescent="0.25">
      <c r="N550" s="1"/>
    </row>
    <row r="551" spans="14:14" ht="15.75" hidden="1" customHeight="1" x14ac:dyDescent="0.25">
      <c r="N551" s="1"/>
    </row>
    <row r="552" spans="14:14" ht="15.75" hidden="1" customHeight="1" x14ac:dyDescent="0.25">
      <c r="N552" s="1"/>
    </row>
    <row r="553" spans="14:14" ht="15.75" hidden="1" customHeight="1" x14ac:dyDescent="0.25">
      <c r="N553" s="1"/>
    </row>
    <row r="554" spans="14:14" ht="15.75" hidden="1" customHeight="1" x14ac:dyDescent="0.25">
      <c r="N554" s="1"/>
    </row>
    <row r="555" spans="14:14" ht="15.75" hidden="1" customHeight="1" x14ac:dyDescent="0.25">
      <c r="N555" s="1"/>
    </row>
    <row r="556" spans="14:14" ht="15.75" hidden="1" customHeight="1" x14ac:dyDescent="0.25">
      <c r="N556" s="1"/>
    </row>
    <row r="557" spans="14:14" ht="15.75" hidden="1" customHeight="1" x14ac:dyDescent="0.25">
      <c r="N557" s="1"/>
    </row>
    <row r="558" spans="14:14" ht="15.75" hidden="1" customHeight="1" x14ac:dyDescent="0.25">
      <c r="N558" s="1"/>
    </row>
    <row r="559" spans="14:14" ht="15.75" hidden="1" customHeight="1" x14ac:dyDescent="0.25">
      <c r="N559" s="1"/>
    </row>
    <row r="560" spans="14:14" ht="15.75" hidden="1" customHeight="1" x14ac:dyDescent="0.25">
      <c r="N560" s="1"/>
    </row>
    <row r="561" spans="14:14" ht="15.75" hidden="1" customHeight="1" x14ac:dyDescent="0.25">
      <c r="N561" s="1"/>
    </row>
    <row r="562" spans="14:14" ht="15.75" hidden="1" customHeight="1" x14ac:dyDescent="0.25">
      <c r="N562" s="1"/>
    </row>
    <row r="563" spans="14:14" ht="15.75" hidden="1" customHeight="1" x14ac:dyDescent="0.25">
      <c r="N563" s="1"/>
    </row>
    <row r="564" spans="14:14" ht="15.75" hidden="1" customHeight="1" x14ac:dyDescent="0.25">
      <c r="N564" s="1"/>
    </row>
    <row r="565" spans="14:14" ht="15.75" hidden="1" customHeight="1" x14ac:dyDescent="0.25">
      <c r="N565" s="1"/>
    </row>
    <row r="566" spans="14:14" ht="15.75" hidden="1" customHeight="1" x14ac:dyDescent="0.25">
      <c r="N566" s="1"/>
    </row>
    <row r="567" spans="14:14" ht="15.75" hidden="1" customHeight="1" x14ac:dyDescent="0.25">
      <c r="N567" s="1"/>
    </row>
    <row r="568" spans="14:14" ht="15.75" hidden="1" customHeight="1" x14ac:dyDescent="0.25">
      <c r="N568" s="1"/>
    </row>
    <row r="569" spans="14:14" ht="15.75" hidden="1" customHeight="1" x14ac:dyDescent="0.25">
      <c r="N569" s="1"/>
    </row>
    <row r="570" spans="14:14" ht="15.75" hidden="1" customHeight="1" x14ac:dyDescent="0.25">
      <c r="N570" s="1"/>
    </row>
    <row r="571" spans="14:14" ht="15.75" hidden="1" customHeight="1" x14ac:dyDescent="0.25">
      <c r="N571" s="1"/>
    </row>
    <row r="572" spans="14:14" ht="15.75" hidden="1" customHeight="1" x14ac:dyDescent="0.25">
      <c r="N572" s="1"/>
    </row>
    <row r="573" spans="14:14" ht="15.75" hidden="1" customHeight="1" x14ac:dyDescent="0.25">
      <c r="N573" s="1"/>
    </row>
    <row r="574" spans="14:14" ht="15.75" hidden="1" customHeight="1" x14ac:dyDescent="0.25">
      <c r="N574" s="1"/>
    </row>
    <row r="575" spans="14:14" ht="15.75" hidden="1" customHeight="1" x14ac:dyDescent="0.25">
      <c r="N575" s="1"/>
    </row>
    <row r="576" spans="14:14" ht="15.75" hidden="1" customHeight="1" x14ac:dyDescent="0.25">
      <c r="N576" s="1"/>
    </row>
    <row r="577" spans="14:14" ht="15.75" hidden="1" customHeight="1" x14ac:dyDescent="0.25">
      <c r="N577" s="1"/>
    </row>
    <row r="578" spans="14:14" ht="15.75" hidden="1" customHeight="1" x14ac:dyDescent="0.25">
      <c r="N578" s="1"/>
    </row>
    <row r="579" spans="14:14" ht="15.75" hidden="1" customHeight="1" x14ac:dyDescent="0.25">
      <c r="N579" s="1"/>
    </row>
    <row r="580" spans="14:14" ht="15.75" hidden="1" customHeight="1" x14ac:dyDescent="0.25">
      <c r="N580" s="1"/>
    </row>
    <row r="581" spans="14:14" ht="15.75" hidden="1" customHeight="1" x14ac:dyDescent="0.25">
      <c r="N581" s="1"/>
    </row>
    <row r="582" spans="14:14" ht="15.75" hidden="1" customHeight="1" x14ac:dyDescent="0.25">
      <c r="N582" s="1"/>
    </row>
    <row r="583" spans="14:14" ht="15.75" hidden="1" customHeight="1" x14ac:dyDescent="0.25">
      <c r="N583" s="1"/>
    </row>
    <row r="584" spans="14:14" ht="15.75" hidden="1" customHeight="1" x14ac:dyDescent="0.25">
      <c r="N584" s="1"/>
    </row>
    <row r="585" spans="14:14" ht="15.75" hidden="1" customHeight="1" x14ac:dyDescent="0.25">
      <c r="N585" s="1"/>
    </row>
    <row r="586" spans="14:14" ht="15.75" hidden="1" customHeight="1" x14ac:dyDescent="0.25">
      <c r="N586" s="1"/>
    </row>
    <row r="587" spans="14:14" ht="15.75" hidden="1" customHeight="1" x14ac:dyDescent="0.25">
      <c r="N587" s="1"/>
    </row>
    <row r="588" spans="14:14" ht="15.75" hidden="1" customHeight="1" x14ac:dyDescent="0.25">
      <c r="N588" s="1"/>
    </row>
    <row r="589" spans="14:14" ht="15.75" hidden="1" customHeight="1" x14ac:dyDescent="0.25">
      <c r="N589" s="1"/>
    </row>
    <row r="590" spans="14:14" ht="15.75" hidden="1" customHeight="1" x14ac:dyDescent="0.25">
      <c r="N590" s="1"/>
    </row>
    <row r="591" spans="14:14" ht="15.75" hidden="1" customHeight="1" x14ac:dyDescent="0.25">
      <c r="N591" s="1"/>
    </row>
    <row r="592" spans="14:14" ht="15.75" hidden="1" customHeight="1" x14ac:dyDescent="0.25">
      <c r="N592" s="1"/>
    </row>
    <row r="593" spans="14:14" ht="15.75" hidden="1" customHeight="1" x14ac:dyDescent="0.25">
      <c r="N593" s="1"/>
    </row>
    <row r="594" spans="14:14" ht="15.75" hidden="1" customHeight="1" x14ac:dyDescent="0.25">
      <c r="N594" s="1"/>
    </row>
    <row r="595" spans="14:14" ht="15.75" hidden="1" customHeight="1" x14ac:dyDescent="0.25">
      <c r="N595" s="1"/>
    </row>
    <row r="596" spans="14:14" ht="15.75" hidden="1" customHeight="1" x14ac:dyDescent="0.25">
      <c r="N596" s="1"/>
    </row>
    <row r="597" spans="14:14" ht="15.75" hidden="1" customHeight="1" x14ac:dyDescent="0.25">
      <c r="N597" s="1"/>
    </row>
    <row r="598" spans="14:14" ht="15.75" hidden="1" customHeight="1" x14ac:dyDescent="0.25">
      <c r="N598" s="1"/>
    </row>
    <row r="599" spans="14:14" ht="15.75" hidden="1" customHeight="1" x14ac:dyDescent="0.25">
      <c r="N599" s="1"/>
    </row>
    <row r="600" spans="14:14" ht="15.75" hidden="1" customHeight="1" x14ac:dyDescent="0.25">
      <c r="N600" s="1"/>
    </row>
    <row r="601" spans="14:14" ht="15.75" hidden="1" customHeight="1" x14ac:dyDescent="0.25">
      <c r="N601" s="1"/>
    </row>
    <row r="602" spans="14:14" ht="15.75" hidden="1" customHeight="1" x14ac:dyDescent="0.25">
      <c r="N602" s="1"/>
    </row>
    <row r="603" spans="14:14" ht="15.75" hidden="1" customHeight="1" x14ac:dyDescent="0.25">
      <c r="N603" s="1"/>
    </row>
    <row r="604" spans="14:14" ht="15.75" hidden="1" customHeight="1" x14ac:dyDescent="0.25">
      <c r="N604" s="1"/>
    </row>
    <row r="605" spans="14:14" ht="15.75" hidden="1" customHeight="1" x14ac:dyDescent="0.25">
      <c r="N605" s="1"/>
    </row>
    <row r="606" spans="14:14" ht="15.75" hidden="1" customHeight="1" x14ac:dyDescent="0.25">
      <c r="N606" s="1"/>
    </row>
    <row r="607" spans="14:14" ht="15.75" hidden="1" customHeight="1" x14ac:dyDescent="0.25">
      <c r="N607" s="1"/>
    </row>
    <row r="608" spans="14:14" ht="15.75" hidden="1" customHeight="1" x14ac:dyDescent="0.25">
      <c r="N608" s="1"/>
    </row>
    <row r="609" spans="14:14" ht="15.75" hidden="1" customHeight="1" x14ac:dyDescent="0.25">
      <c r="N609" s="1"/>
    </row>
    <row r="610" spans="14:14" ht="15.75" hidden="1" customHeight="1" x14ac:dyDescent="0.25">
      <c r="N610" s="1"/>
    </row>
    <row r="611" spans="14:14" ht="15.75" hidden="1" customHeight="1" x14ac:dyDescent="0.25">
      <c r="N611" s="1"/>
    </row>
    <row r="612" spans="14:14" ht="15.75" hidden="1" customHeight="1" x14ac:dyDescent="0.25">
      <c r="N612" s="1"/>
    </row>
    <row r="613" spans="14:14" ht="15.75" hidden="1" customHeight="1" x14ac:dyDescent="0.25">
      <c r="N613" s="1"/>
    </row>
    <row r="614" spans="14:14" ht="15.75" hidden="1" customHeight="1" x14ac:dyDescent="0.25">
      <c r="N614" s="1"/>
    </row>
    <row r="615" spans="14:14" ht="15.75" hidden="1" customHeight="1" x14ac:dyDescent="0.25">
      <c r="N615" s="1"/>
    </row>
    <row r="616" spans="14:14" ht="15.75" hidden="1" customHeight="1" x14ac:dyDescent="0.25">
      <c r="N616" s="1"/>
    </row>
    <row r="617" spans="14:14" ht="15.75" hidden="1" customHeight="1" x14ac:dyDescent="0.25">
      <c r="N617" s="1"/>
    </row>
    <row r="618" spans="14:14" ht="15.75" hidden="1" customHeight="1" x14ac:dyDescent="0.25">
      <c r="N618" s="1"/>
    </row>
    <row r="619" spans="14:14" ht="15.75" hidden="1" customHeight="1" x14ac:dyDescent="0.25">
      <c r="N619" s="1"/>
    </row>
    <row r="620" spans="14:14" ht="15.75" hidden="1" customHeight="1" x14ac:dyDescent="0.25">
      <c r="N620" s="1"/>
    </row>
    <row r="621" spans="14:14" ht="15.75" hidden="1" customHeight="1" x14ac:dyDescent="0.25">
      <c r="N621" s="1"/>
    </row>
    <row r="622" spans="14:14" ht="15.75" hidden="1" customHeight="1" x14ac:dyDescent="0.25">
      <c r="N622" s="1"/>
    </row>
    <row r="623" spans="14:14" ht="15.75" hidden="1" customHeight="1" x14ac:dyDescent="0.25">
      <c r="N623" s="1"/>
    </row>
    <row r="624" spans="14:14" ht="15.75" hidden="1" customHeight="1" x14ac:dyDescent="0.25">
      <c r="N624" s="1"/>
    </row>
    <row r="625" spans="14:14" ht="15.75" hidden="1" customHeight="1" x14ac:dyDescent="0.25">
      <c r="N625" s="1"/>
    </row>
    <row r="626" spans="14:14" ht="15.75" hidden="1" customHeight="1" x14ac:dyDescent="0.25">
      <c r="N626" s="1"/>
    </row>
    <row r="627" spans="14:14" ht="15.75" hidden="1" customHeight="1" x14ac:dyDescent="0.25">
      <c r="N627" s="1"/>
    </row>
    <row r="628" spans="14:14" ht="15.75" hidden="1" customHeight="1" x14ac:dyDescent="0.25">
      <c r="N628" s="1"/>
    </row>
    <row r="629" spans="14:14" ht="15.75" hidden="1" customHeight="1" x14ac:dyDescent="0.25">
      <c r="N629" s="1"/>
    </row>
    <row r="630" spans="14:14" ht="15.75" hidden="1" customHeight="1" x14ac:dyDescent="0.25">
      <c r="N630" s="1"/>
    </row>
    <row r="631" spans="14:14" ht="15.75" hidden="1" customHeight="1" x14ac:dyDescent="0.25">
      <c r="N631" s="1"/>
    </row>
    <row r="632" spans="14:14" ht="15.75" hidden="1" customHeight="1" x14ac:dyDescent="0.25">
      <c r="N632" s="1"/>
    </row>
    <row r="633" spans="14:14" ht="15.75" hidden="1" customHeight="1" x14ac:dyDescent="0.25">
      <c r="N633" s="1"/>
    </row>
    <row r="634" spans="14:14" ht="15.75" hidden="1" customHeight="1" x14ac:dyDescent="0.25">
      <c r="N634" s="1"/>
    </row>
    <row r="635" spans="14:14" ht="15.75" hidden="1" customHeight="1" x14ac:dyDescent="0.25">
      <c r="N635" s="1"/>
    </row>
    <row r="636" spans="14:14" ht="15.75" hidden="1" customHeight="1" x14ac:dyDescent="0.25">
      <c r="N636" s="1"/>
    </row>
    <row r="637" spans="14:14" ht="15.75" hidden="1" customHeight="1" x14ac:dyDescent="0.25">
      <c r="N637" s="1"/>
    </row>
    <row r="638" spans="14:14" ht="15.75" hidden="1" customHeight="1" x14ac:dyDescent="0.25">
      <c r="N638" s="1"/>
    </row>
    <row r="639" spans="14:14" ht="15.75" hidden="1" customHeight="1" x14ac:dyDescent="0.25">
      <c r="N639" s="1"/>
    </row>
    <row r="640" spans="14:14" ht="15.75" hidden="1" customHeight="1" x14ac:dyDescent="0.25">
      <c r="N640" s="1"/>
    </row>
    <row r="641" spans="14:14" ht="15.75" hidden="1" customHeight="1" x14ac:dyDescent="0.25">
      <c r="N641" s="1"/>
    </row>
    <row r="642" spans="14:14" ht="15.75" hidden="1" customHeight="1" x14ac:dyDescent="0.25">
      <c r="N642" s="1"/>
    </row>
    <row r="643" spans="14:14" ht="15.75" hidden="1" customHeight="1" x14ac:dyDescent="0.25">
      <c r="N643" s="1"/>
    </row>
    <row r="644" spans="14:14" ht="15.75" hidden="1" customHeight="1" x14ac:dyDescent="0.25">
      <c r="N644" s="1"/>
    </row>
    <row r="645" spans="14:14" ht="15.75" hidden="1" customHeight="1" x14ac:dyDescent="0.25">
      <c r="N645" s="1"/>
    </row>
    <row r="646" spans="14:14" ht="15.75" hidden="1" customHeight="1" x14ac:dyDescent="0.25">
      <c r="N646" s="1"/>
    </row>
    <row r="647" spans="14:14" ht="15.75" hidden="1" customHeight="1" x14ac:dyDescent="0.25">
      <c r="N647" s="1"/>
    </row>
    <row r="648" spans="14:14" ht="15.75" hidden="1" customHeight="1" x14ac:dyDescent="0.25">
      <c r="N648" s="1"/>
    </row>
    <row r="649" spans="14:14" ht="15.75" hidden="1" customHeight="1" x14ac:dyDescent="0.25">
      <c r="N649" s="1"/>
    </row>
    <row r="650" spans="14:14" ht="15.75" hidden="1" customHeight="1" x14ac:dyDescent="0.25">
      <c r="N650" s="1"/>
    </row>
    <row r="651" spans="14:14" ht="15.75" hidden="1" customHeight="1" x14ac:dyDescent="0.25">
      <c r="N651" s="1"/>
    </row>
    <row r="652" spans="14:14" ht="15.75" hidden="1" customHeight="1" x14ac:dyDescent="0.25">
      <c r="N652" s="1"/>
    </row>
    <row r="653" spans="14:14" ht="15.75" hidden="1" customHeight="1" x14ac:dyDescent="0.25">
      <c r="N653" s="1"/>
    </row>
    <row r="654" spans="14:14" ht="15.75" hidden="1" customHeight="1" x14ac:dyDescent="0.25">
      <c r="N654" s="1"/>
    </row>
    <row r="655" spans="14:14" ht="15.75" hidden="1" customHeight="1" x14ac:dyDescent="0.25">
      <c r="N655" s="1"/>
    </row>
    <row r="656" spans="14:14" ht="15.75" hidden="1" customHeight="1" x14ac:dyDescent="0.25">
      <c r="N656" s="1"/>
    </row>
    <row r="657" spans="14:14" ht="15.75" hidden="1" customHeight="1" x14ac:dyDescent="0.25">
      <c r="N657" s="1"/>
    </row>
    <row r="658" spans="14:14" ht="15.75" hidden="1" customHeight="1" x14ac:dyDescent="0.25">
      <c r="N658" s="1"/>
    </row>
    <row r="659" spans="14:14" ht="15.75" hidden="1" customHeight="1" x14ac:dyDescent="0.25">
      <c r="N659" s="1"/>
    </row>
    <row r="660" spans="14:14" ht="15.75" hidden="1" customHeight="1" x14ac:dyDescent="0.25">
      <c r="N660" s="1"/>
    </row>
    <row r="661" spans="14:14" ht="15.75" hidden="1" customHeight="1" x14ac:dyDescent="0.25">
      <c r="N661" s="1"/>
    </row>
    <row r="662" spans="14:14" ht="15.75" hidden="1" customHeight="1" x14ac:dyDescent="0.25">
      <c r="N662" s="1"/>
    </row>
    <row r="663" spans="14:14" ht="15.75" hidden="1" customHeight="1" x14ac:dyDescent="0.25">
      <c r="N663" s="1"/>
    </row>
    <row r="664" spans="14:14" ht="15.75" hidden="1" customHeight="1" x14ac:dyDescent="0.25">
      <c r="N664" s="1"/>
    </row>
    <row r="665" spans="14:14" ht="15.75" hidden="1" customHeight="1" x14ac:dyDescent="0.25">
      <c r="N665" s="1"/>
    </row>
    <row r="666" spans="14:14" ht="15.75" hidden="1" customHeight="1" x14ac:dyDescent="0.25">
      <c r="N666" s="1"/>
    </row>
    <row r="667" spans="14:14" ht="15.75" hidden="1" customHeight="1" x14ac:dyDescent="0.25">
      <c r="N667" s="1"/>
    </row>
    <row r="668" spans="14:14" ht="15.75" hidden="1" customHeight="1" x14ac:dyDescent="0.25">
      <c r="N668" s="1"/>
    </row>
    <row r="669" spans="14:14" ht="15.75" hidden="1" customHeight="1" x14ac:dyDescent="0.25">
      <c r="N669" s="1"/>
    </row>
    <row r="670" spans="14:14" ht="15.75" hidden="1" customHeight="1" x14ac:dyDescent="0.25">
      <c r="N670" s="1"/>
    </row>
    <row r="671" spans="14:14" ht="15.75" hidden="1" customHeight="1" x14ac:dyDescent="0.25">
      <c r="N671" s="1"/>
    </row>
    <row r="672" spans="14:14" ht="15.75" hidden="1" customHeight="1" x14ac:dyDescent="0.25">
      <c r="N672" s="1"/>
    </row>
    <row r="673" spans="14:14" ht="15.75" hidden="1" customHeight="1" x14ac:dyDescent="0.25">
      <c r="N673" s="1"/>
    </row>
    <row r="674" spans="14:14" ht="15.75" hidden="1" customHeight="1" x14ac:dyDescent="0.25">
      <c r="N674" s="1"/>
    </row>
    <row r="675" spans="14:14" ht="15.75" hidden="1" customHeight="1" x14ac:dyDescent="0.25">
      <c r="N675" s="1"/>
    </row>
    <row r="676" spans="14:14" ht="15.75" hidden="1" customHeight="1" x14ac:dyDescent="0.25">
      <c r="N676" s="1"/>
    </row>
    <row r="677" spans="14:14" ht="15.75" hidden="1" customHeight="1" x14ac:dyDescent="0.25">
      <c r="N677" s="1"/>
    </row>
    <row r="678" spans="14:14" ht="15.75" hidden="1" customHeight="1" x14ac:dyDescent="0.25">
      <c r="N678" s="1"/>
    </row>
    <row r="679" spans="14:14" ht="15.75" hidden="1" customHeight="1" x14ac:dyDescent="0.25">
      <c r="N679" s="1"/>
    </row>
    <row r="680" spans="14:14" ht="15.75" hidden="1" customHeight="1" x14ac:dyDescent="0.25">
      <c r="N680" s="1"/>
    </row>
    <row r="681" spans="14:14" ht="15.75" hidden="1" customHeight="1" x14ac:dyDescent="0.25">
      <c r="N681" s="1"/>
    </row>
    <row r="682" spans="14:14" ht="15.75" hidden="1" customHeight="1" x14ac:dyDescent="0.25">
      <c r="N682" s="1"/>
    </row>
    <row r="683" spans="14:14" ht="15.75" hidden="1" customHeight="1" x14ac:dyDescent="0.25">
      <c r="N683" s="1"/>
    </row>
    <row r="684" spans="14:14" ht="15.75" hidden="1" customHeight="1" x14ac:dyDescent="0.25">
      <c r="N684" s="1"/>
    </row>
    <row r="685" spans="14:14" ht="15.75" hidden="1" customHeight="1" x14ac:dyDescent="0.25">
      <c r="N685" s="1"/>
    </row>
    <row r="686" spans="14:14" ht="15.75" hidden="1" customHeight="1" x14ac:dyDescent="0.25">
      <c r="N686" s="1"/>
    </row>
    <row r="687" spans="14:14" ht="15.75" hidden="1" customHeight="1" x14ac:dyDescent="0.25">
      <c r="N687" s="1"/>
    </row>
    <row r="688" spans="14:14" ht="15.75" hidden="1" customHeight="1" x14ac:dyDescent="0.25">
      <c r="N688" s="1"/>
    </row>
    <row r="689" spans="14:14" ht="15.75" hidden="1" customHeight="1" x14ac:dyDescent="0.25">
      <c r="N689" s="1"/>
    </row>
    <row r="690" spans="14:14" ht="15.75" hidden="1" customHeight="1" x14ac:dyDescent="0.25">
      <c r="N690" s="1"/>
    </row>
    <row r="691" spans="14:14" ht="15.75" hidden="1" customHeight="1" x14ac:dyDescent="0.25">
      <c r="N691" s="1"/>
    </row>
    <row r="692" spans="14:14" ht="15.75" hidden="1" customHeight="1" x14ac:dyDescent="0.25">
      <c r="N692" s="1"/>
    </row>
    <row r="693" spans="14:14" ht="15.75" hidden="1" customHeight="1" x14ac:dyDescent="0.25">
      <c r="N693" s="1"/>
    </row>
    <row r="694" spans="14:14" ht="15.75" hidden="1" customHeight="1" x14ac:dyDescent="0.25">
      <c r="N694" s="1"/>
    </row>
    <row r="695" spans="14:14" ht="15.75" hidden="1" customHeight="1" x14ac:dyDescent="0.25">
      <c r="N695" s="1"/>
    </row>
    <row r="696" spans="14:14" ht="15.75" hidden="1" customHeight="1" x14ac:dyDescent="0.25">
      <c r="N696" s="1"/>
    </row>
    <row r="697" spans="14:14" ht="15.75" hidden="1" customHeight="1" x14ac:dyDescent="0.25">
      <c r="N697" s="1"/>
    </row>
    <row r="698" spans="14:14" ht="15.75" hidden="1" customHeight="1" x14ac:dyDescent="0.25">
      <c r="N698" s="1"/>
    </row>
    <row r="699" spans="14:14" ht="15.75" hidden="1" customHeight="1" x14ac:dyDescent="0.25">
      <c r="N699" s="1"/>
    </row>
    <row r="700" spans="14:14" ht="15.75" hidden="1" customHeight="1" x14ac:dyDescent="0.25">
      <c r="N700" s="1"/>
    </row>
    <row r="701" spans="14:14" ht="15.75" hidden="1" customHeight="1" x14ac:dyDescent="0.25">
      <c r="N701" s="1"/>
    </row>
    <row r="702" spans="14:14" ht="15.75" hidden="1" customHeight="1" x14ac:dyDescent="0.25">
      <c r="N702" s="1"/>
    </row>
    <row r="703" spans="14:14" ht="15.75" hidden="1" customHeight="1" x14ac:dyDescent="0.25">
      <c r="N703" s="1"/>
    </row>
    <row r="704" spans="14:14" ht="15.75" hidden="1" customHeight="1" x14ac:dyDescent="0.25">
      <c r="N704" s="1"/>
    </row>
    <row r="705" spans="14:14" ht="15.75" hidden="1" customHeight="1" x14ac:dyDescent="0.25">
      <c r="N705" s="1"/>
    </row>
    <row r="706" spans="14:14" ht="15.75" hidden="1" customHeight="1" x14ac:dyDescent="0.25">
      <c r="N706" s="1"/>
    </row>
    <row r="707" spans="14:14" ht="15.75" hidden="1" customHeight="1" x14ac:dyDescent="0.25">
      <c r="N707" s="1"/>
    </row>
    <row r="708" spans="14:14" ht="15.75" hidden="1" customHeight="1" x14ac:dyDescent="0.25">
      <c r="N708" s="1"/>
    </row>
    <row r="709" spans="14:14" ht="15.75" hidden="1" customHeight="1" x14ac:dyDescent="0.25">
      <c r="N709" s="1"/>
    </row>
    <row r="710" spans="14:14" ht="15.75" hidden="1" customHeight="1" x14ac:dyDescent="0.25">
      <c r="N710" s="1"/>
    </row>
    <row r="711" spans="14:14" ht="15.75" hidden="1" customHeight="1" x14ac:dyDescent="0.25">
      <c r="N711" s="1"/>
    </row>
    <row r="712" spans="14:14" ht="15.75" hidden="1" customHeight="1" x14ac:dyDescent="0.25">
      <c r="N712" s="1"/>
    </row>
    <row r="713" spans="14:14" ht="15.75" hidden="1" customHeight="1" x14ac:dyDescent="0.25">
      <c r="N713" s="1"/>
    </row>
    <row r="714" spans="14:14" ht="15.75" hidden="1" customHeight="1" x14ac:dyDescent="0.25">
      <c r="N714" s="1"/>
    </row>
    <row r="715" spans="14:14" ht="15.75" hidden="1" customHeight="1" x14ac:dyDescent="0.25">
      <c r="N715" s="1"/>
    </row>
    <row r="716" spans="14:14" ht="15.75" hidden="1" customHeight="1" x14ac:dyDescent="0.25">
      <c r="N716" s="1"/>
    </row>
    <row r="717" spans="14:14" ht="15.75" hidden="1" customHeight="1" x14ac:dyDescent="0.25">
      <c r="N717" s="1"/>
    </row>
    <row r="718" spans="14:14" ht="15.75" hidden="1" customHeight="1" x14ac:dyDescent="0.25">
      <c r="N718" s="1"/>
    </row>
    <row r="719" spans="14:14" ht="15.75" hidden="1" customHeight="1" x14ac:dyDescent="0.25">
      <c r="N719" s="1"/>
    </row>
    <row r="720" spans="14:14" ht="15.75" hidden="1" customHeight="1" x14ac:dyDescent="0.25">
      <c r="N720" s="1"/>
    </row>
    <row r="721" spans="14:14" ht="15.75" hidden="1" customHeight="1" x14ac:dyDescent="0.25">
      <c r="N721" s="1"/>
    </row>
    <row r="722" spans="14:14" ht="15.75" hidden="1" customHeight="1" x14ac:dyDescent="0.25">
      <c r="N722" s="1"/>
    </row>
    <row r="723" spans="14:14" ht="15.75" hidden="1" customHeight="1" x14ac:dyDescent="0.25">
      <c r="N723" s="1"/>
    </row>
    <row r="724" spans="14:14" ht="15.75" hidden="1" customHeight="1" x14ac:dyDescent="0.25">
      <c r="N724" s="1"/>
    </row>
    <row r="725" spans="14:14" ht="15.75" hidden="1" customHeight="1" x14ac:dyDescent="0.25">
      <c r="N725" s="1"/>
    </row>
    <row r="726" spans="14:14" ht="15.75" hidden="1" customHeight="1" x14ac:dyDescent="0.25">
      <c r="N726" s="1"/>
    </row>
    <row r="727" spans="14:14" ht="15.75" hidden="1" customHeight="1" x14ac:dyDescent="0.25">
      <c r="N727" s="1"/>
    </row>
    <row r="728" spans="14:14" ht="15.75" hidden="1" customHeight="1" x14ac:dyDescent="0.25">
      <c r="N728" s="1"/>
    </row>
    <row r="729" spans="14:14" ht="15.75" hidden="1" customHeight="1" x14ac:dyDescent="0.25">
      <c r="N729" s="1"/>
    </row>
    <row r="730" spans="14:14" ht="15.75" hidden="1" customHeight="1" x14ac:dyDescent="0.25">
      <c r="N730" s="1"/>
    </row>
    <row r="731" spans="14:14" ht="15.75" hidden="1" customHeight="1" x14ac:dyDescent="0.25">
      <c r="N731" s="1"/>
    </row>
    <row r="732" spans="14:14" ht="15.75" hidden="1" customHeight="1" x14ac:dyDescent="0.25">
      <c r="N732" s="1"/>
    </row>
    <row r="733" spans="14:14" ht="15.75" hidden="1" customHeight="1" x14ac:dyDescent="0.25">
      <c r="N733" s="1"/>
    </row>
    <row r="734" spans="14:14" ht="15.75" hidden="1" customHeight="1" x14ac:dyDescent="0.25">
      <c r="N734" s="1"/>
    </row>
    <row r="735" spans="14:14" ht="15.75" hidden="1" customHeight="1" x14ac:dyDescent="0.25">
      <c r="N735" s="1"/>
    </row>
    <row r="736" spans="14:14" ht="15.75" hidden="1" customHeight="1" x14ac:dyDescent="0.25">
      <c r="N736" s="1"/>
    </row>
    <row r="737" spans="14:14" ht="15.75" hidden="1" customHeight="1" x14ac:dyDescent="0.25">
      <c r="N737" s="1"/>
    </row>
    <row r="738" spans="14:14" ht="15.75" hidden="1" customHeight="1" x14ac:dyDescent="0.25">
      <c r="N738" s="1"/>
    </row>
    <row r="739" spans="14:14" ht="15.75" hidden="1" customHeight="1" x14ac:dyDescent="0.25">
      <c r="N739" s="1"/>
    </row>
    <row r="740" spans="14:14" ht="15.75" hidden="1" customHeight="1" x14ac:dyDescent="0.25">
      <c r="N740" s="1"/>
    </row>
    <row r="741" spans="14:14" ht="15.75" hidden="1" customHeight="1" x14ac:dyDescent="0.25">
      <c r="N741" s="1"/>
    </row>
    <row r="742" spans="14:14" ht="15.75" hidden="1" customHeight="1" x14ac:dyDescent="0.25">
      <c r="N742" s="1"/>
    </row>
    <row r="743" spans="14:14" ht="15.75" hidden="1" customHeight="1" x14ac:dyDescent="0.25">
      <c r="N743" s="1"/>
    </row>
    <row r="744" spans="14:14" ht="15.75" hidden="1" customHeight="1" x14ac:dyDescent="0.25">
      <c r="N744" s="1"/>
    </row>
    <row r="745" spans="14:14" ht="15.75" hidden="1" customHeight="1" x14ac:dyDescent="0.25">
      <c r="N745" s="1"/>
    </row>
    <row r="746" spans="14:14" ht="15.75" hidden="1" customHeight="1" x14ac:dyDescent="0.25">
      <c r="N746" s="1"/>
    </row>
    <row r="747" spans="14:14" ht="15.75" hidden="1" customHeight="1" x14ac:dyDescent="0.25">
      <c r="N747" s="1"/>
    </row>
    <row r="748" spans="14:14" ht="15.75" hidden="1" customHeight="1" x14ac:dyDescent="0.25">
      <c r="N748" s="1"/>
    </row>
    <row r="749" spans="14:14" ht="15.75" hidden="1" customHeight="1" x14ac:dyDescent="0.25">
      <c r="N749" s="1"/>
    </row>
    <row r="750" spans="14:14" ht="15.75" hidden="1" customHeight="1" x14ac:dyDescent="0.25">
      <c r="N750" s="1"/>
    </row>
    <row r="751" spans="14:14" ht="15.75" hidden="1" customHeight="1" x14ac:dyDescent="0.25">
      <c r="N751" s="1"/>
    </row>
    <row r="752" spans="14:14" ht="15.75" hidden="1" customHeight="1" x14ac:dyDescent="0.25">
      <c r="N752" s="1"/>
    </row>
    <row r="753" spans="14:14" ht="15.75" hidden="1" customHeight="1" x14ac:dyDescent="0.25">
      <c r="N753" s="1"/>
    </row>
    <row r="754" spans="14:14" ht="15.75" hidden="1" customHeight="1" x14ac:dyDescent="0.25">
      <c r="N754" s="1"/>
    </row>
    <row r="755" spans="14:14" ht="15.75" hidden="1" customHeight="1" x14ac:dyDescent="0.25">
      <c r="N755" s="1"/>
    </row>
    <row r="756" spans="14:14" ht="15.75" hidden="1" customHeight="1" x14ac:dyDescent="0.25">
      <c r="N756" s="1"/>
    </row>
    <row r="757" spans="14:14" ht="15.75" hidden="1" customHeight="1" x14ac:dyDescent="0.25">
      <c r="N757" s="1"/>
    </row>
    <row r="758" spans="14:14" ht="15.75" hidden="1" customHeight="1" x14ac:dyDescent="0.25">
      <c r="N758" s="1"/>
    </row>
    <row r="759" spans="14:14" ht="15.75" hidden="1" customHeight="1" x14ac:dyDescent="0.25">
      <c r="N759" s="1"/>
    </row>
    <row r="760" spans="14:14" ht="15.75" hidden="1" customHeight="1" x14ac:dyDescent="0.25">
      <c r="N760" s="1"/>
    </row>
    <row r="761" spans="14:14" ht="15.75" hidden="1" customHeight="1" x14ac:dyDescent="0.25">
      <c r="N761" s="1"/>
    </row>
    <row r="762" spans="14:14" ht="15.75" hidden="1" customHeight="1" x14ac:dyDescent="0.25">
      <c r="N762" s="1"/>
    </row>
    <row r="763" spans="14:14" ht="15.75" hidden="1" customHeight="1" x14ac:dyDescent="0.25">
      <c r="N763" s="1"/>
    </row>
    <row r="764" spans="14:14" ht="15.75" hidden="1" customHeight="1" x14ac:dyDescent="0.25">
      <c r="N764" s="1"/>
    </row>
    <row r="765" spans="14:14" ht="15.75" hidden="1" customHeight="1" x14ac:dyDescent="0.25">
      <c r="N765" s="1"/>
    </row>
    <row r="766" spans="14:14" ht="15.75" hidden="1" customHeight="1" x14ac:dyDescent="0.25">
      <c r="N766" s="1"/>
    </row>
    <row r="767" spans="14:14" ht="15.75" hidden="1" customHeight="1" x14ac:dyDescent="0.25">
      <c r="N767" s="1"/>
    </row>
    <row r="768" spans="14:14" ht="15.75" hidden="1" customHeight="1" x14ac:dyDescent="0.25">
      <c r="N768" s="1"/>
    </row>
    <row r="769" spans="14:14" ht="15.75" hidden="1" customHeight="1" x14ac:dyDescent="0.25">
      <c r="N769" s="1"/>
    </row>
    <row r="770" spans="14:14" ht="15.75" hidden="1" customHeight="1" x14ac:dyDescent="0.25">
      <c r="N770" s="1"/>
    </row>
    <row r="771" spans="14:14" ht="15.75" hidden="1" customHeight="1" x14ac:dyDescent="0.25">
      <c r="N771" s="1"/>
    </row>
    <row r="772" spans="14:14" ht="15.75" hidden="1" customHeight="1" x14ac:dyDescent="0.25">
      <c r="N772" s="1"/>
    </row>
    <row r="773" spans="14:14" ht="15.75" hidden="1" customHeight="1" x14ac:dyDescent="0.25">
      <c r="N773" s="1"/>
    </row>
    <row r="774" spans="14:14" ht="15.75" hidden="1" customHeight="1" x14ac:dyDescent="0.25">
      <c r="N774" s="1"/>
    </row>
    <row r="775" spans="14:14" ht="15.75" hidden="1" customHeight="1" x14ac:dyDescent="0.25">
      <c r="N775" s="1"/>
    </row>
    <row r="776" spans="14:14" ht="15.75" hidden="1" customHeight="1" x14ac:dyDescent="0.25">
      <c r="N776" s="1"/>
    </row>
    <row r="777" spans="14:14" ht="15.75" hidden="1" customHeight="1" x14ac:dyDescent="0.25">
      <c r="N777" s="1"/>
    </row>
    <row r="778" spans="14:14" ht="15.75" hidden="1" customHeight="1" x14ac:dyDescent="0.25">
      <c r="N778" s="1"/>
    </row>
    <row r="779" spans="14:14" ht="15.75" hidden="1" customHeight="1" x14ac:dyDescent="0.25">
      <c r="N779" s="1"/>
    </row>
    <row r="780" spans="14:14" ht="15.75" hidden="1" customHeight="1" x14ac:dyDescent="0.25">
      <c r="N780" s="1"/>
    </row>
    <row r="781" spans="14:14" ht="15.75" hidden="1" customHeight="1" x14ac:dyDescent="0.25">
      <c r="N781" s="1"/>
    </row>
    <row r="782" spans="14:14" ht="15.75" hidden="1" customHeight="1" x14ac:dyDescent="0.25">
      <c r="N782" s="1"/>
    </row>
    <row r="783" spans="14:14" ht="15.75" hidden="1" customHeight="1" x14ac:dyDescent="0.25">
      <c r="N783" s="1"/>
    </row>
    <row r="784" spans="14:14" ht="15.75" hidden="1" customHeight="1" x14ac:dyDescent="0.25">
      <c r="N784" s="1"/>
    </row>
    <row r="785" spans="14:14" ht="15.75" hidden="1" customHeight="1" x14ac:dyDescent="0.25">
      <c r="N785" s="1"/>
    </row>
    <row r="786" spans="14:14" ht="15.75" hidden="1" customHeight="1" x14ac:dyDescent="0.25">
      <c r="N786" s="1"/>
    </row>
    <row r="787" spans="14:14" ht="15.75" hidden="1" customHeight="1" x14ac:dyDescent="0.25">
      <c r="N787" s="1"/>
    </row>
    <row r="788" spans="14:14" ht="15.75" hidden="1" customHeight="1" x14ac:dyDescent="0.25">
      <c r="N788" s="1"/>
    </row>
    <row r="789" spans="14:14" ht="15.75" hidden="1" customHeight="1" x14ac:dyDescent="0.25">
      <c r="N789" s="1"/>
    </row>
    <row r="790" spans="14:14" ht="15.75" hidden="1" customHeight="1" x14ac:dyDescent="0.25">
      <c r="N790" s="1"/>
    </row>
    <row r="791" spans="14:14" ht="15.75" hidden="1" customHeight="1" x14ac:dyDescent="0.25">
      <c r="N791" s="1"/>
    </row>
    <row r="792" spans="14:14" ht="15.75" hidden="1" customHeight="1" x14ac:dyDescent="0.25">
      <c r="N792" s="1"/>
    </row>
    <row r="793" spans="14:14" ht="15.75" hidden="1" customHeight="1" x14ac:dyDescent="0.25">
      <c r="N793" s="1"/>
    </row>
    <row r="794" spans="14:14" ht="15.75" hidden="1" customHeight="1" x14ac:dyDescent="0.25">
      <c r="N794" s="1"/>
    </row>
    <row r="795" spans="14:14" ht="15.75" hidden="1" customHeight="1" x14ac:dyDescent="0.25">
      <c r="N795" s="1"/>
    </row>
    <row r="796" spans="14:14" ht="15.75" hidden="1" customHeight="1" x14ac:dyDescent="0.25">
      <c r="N796" s="1"/>
    </row>
    <row r="797" spans="14:14" ht="15.75" hidden="1" customHeight="1" x14ac:dyDescent="0.25">
      <c r="N797" s="1"/>
    </row>
    <row r="798" spans="14:14" ht="15.75" hidden="1" customHeight="1" x14ac:dyDescent="0.25">
      <c r="N798" s="1"/>
    </row>
    <row r="799" spans="14:14" ht="15.75" hidden="1" customHeight="1" x14ac:dyDescent="0.25">
      <c r="N799" s="1"/>
    </row>
    <row r="800" spans="14:14" ht="15.75" hidden="1" customHeight="1" x14ac:dyDescent="0.25">
      <c r="N800" s="1"/>
    </row>
    <row r="801" spans="14:14" ht="15.75" hidden="1" customHeight="1" x14ac:dyDescent="0.25">
      <c r="N801" s="1"/>
    </row>
    <row r="802" spans="14:14" ht="15.75" hidden="1" customHeight="1" x14ac:dyDescent="0.25">
      <c r="N802" s="1"/>
    </row>
    <row r="803" spans="14:14" ht="15.75" hidden="1" customHeight="1" x14ac:dyDescent="0.25">
      <c r="N803" s="1"/>
    </row>
    <row r="804" spans="14:14" ht="15.75" hidden="1" customHeight="1" x14ac:dyDescent="0.25">
      <c r="N804" s="1"/>
    </row>
    <row r="805" spans="14:14" ht="15.75" hidden="1" customHeight="1" x14ac:dyDescent="0.25">
      <c r="N805" s="1"/>
    </row>
    <row r="806" spans="14:14" ht="15.75" hidden="1" customHeight="1" x14ac:dyDescent="0.25">
      <c r="N806" s="1"/>
    </row>
    <row r="807" spans="14:14" ht="15.75" hidden="1" customHeight="1" x14ac:dyDescent="0.25">
      <c r="N807" s="1"/>
    </row>
    <row r="808" spans="14:14" ht="15.75" hidden="1" customHeight="1" x14ac:dyDescent="0.25">
      <c r="N808" s="1"/>
    </row>
    <row r="809" spans="14:14" ht="15.75" hidden="1" customHeight="1" x14ac:dyDescent="0.25">
      <c r="N809" s="1"/>
    </row>
    <row r="810" spans="14:14" ht="15.75" hidden="1" customHeight="1" x14ac:dyDescent="0.25">
      <c r="N810" s="1"/>
    </row>
    <row r="811" spans="14:14" ht="15.75" hidden="1" customHeight="1" x14ac:dyDescent="0.25">
      <c r="N811" s="1"/>
    </row>
    <row r="812" spans="14:14" ht="15.75" hidden="1" customHeight="1" x14ac:dyDescent="0.25">
      <c r="N812" s="1"/>
    </row>
    <row r="813" spans="14:14" ht="15.75" hidden="1" customHeight="1" x14ac:dyDescent="0.25">
      <c r="N813" s="1"/>
    </row>
    <row r="814" spans="14:14" ht="15.75" hidden="1" customHeight="1" x14ac:dyDescent="0.25">
      <c r="N814" s="1"/>
    </row>
    <row r="815" spans="14:14" ht="15.75" hidden="1" customHeight="1" x14ac:dyDescent="0.25">
      <c r="N815" s="1"/>
    </row>
    <row r="816" spans="14:14" ht="15.75" hidden="1" customHeight="1" x14ac:dyDescent="0.25">
      <c r="N816" s="1"/>
    </row>
    <row r="817" spans="14:14" ht="15.75" hidden="1" customHeight="1" x14ac:dyDescent="0.25">
      <c r="N817" s="1"/>
    </row>
    <row r="818" spans="14:14" ht="15.75" hidden="1" customHeight="1" x14ac:dyDescent="0.25">
      <c r="N818" s="1"/>
    </row>
    <row r="819" spans="14:14" ht="15.75" hidden="1" customHeight="1" x14ac:dyDescent="0.25">
      <c r="N819" s="1"/>
    </row>
    <row r="820" spans="14:14" ht="15.75" hidden="1" customHeight="1" x14ac:dyDescent="0.25">
      <c r="N820" s="1"/>
    </row>
    <row r="821" spans="14:14" ht="15.75" hidden="1" customHeight="1" x14ac:dyDescent="0.25">
      <c r="N821" s="1"/>
    </row>
    <row r="822" spans="14:14" ht="15.75" hidden="1" customHeight="1" x14ac:dyDescent="0.25">
      <c r="N822" s="1"/>
    </row>
    <row r="823" spans="14:14" ht="15.75" hidden="1" customHeight="1" x14ac:dyDescent="0.25">
      <c r="N823" s="1"/>
    </row>
    <row r="824" spans="14:14" ht="15.75" hidden="1" customHeight="1" x14ac:dyDescent="0.25">
      <c r="N824" s="1"/>
    </row>
    <row r="825" spans="14:14" ht="15.75" hidden="1" customHeight="1" x14ac:dyDescent="0.25">
      <c r="N825" s="1"/>
    </row>
    <row r="826" spans="14:14" ht="15.75" hidden="1" customHeight="1" x14ac:dyDescent="0.25">
      <c r="N826" s="1"/>
    </row>
    <row r="827" spans="14:14" ht="15.75" hidden="1" customHeight="1" x14ac:dyDescent="0.25">
      <c r="N827" s="1"/>
    </row>
    <row r="828" spans="14:14" ht="15.75" hidden="1" customHeight="1" x14ac:dyDescent="0.25">
      <c r="N828" s="1"/>
    </row>
    <row r="829" spans="14:14" ht="15.75" hidden="1" customHeight="1" x14ac:dyDescent="0.25">
      <c r="N829" s="1"/>
    </row>
    <row r="830" spans="14:14" ht="15.75" hidden="1" customHeight="1" x14ac:dyDescent="0.25">
      <c r="N830" s="1"/>
    </row>
    <row r="831" spans="14:14" ht="15.75" hidden="1" customHeight="1" x14ac:dyDescent="0.25">
      <c r="N831" s="1"/>
    </row>
    <row r="832" spans="14:14" ht="15.75" hidden="1" customHeight="1" x14ac:dyDescent="0.25">
      <c r="N832" s="1"/>
    </row>
    <row r="833" spans="14:14" ht="15.75" hidden="1" customHeight="1" x14ac:dyDescent="0.25">
      <c r="N833" s="1"/>
    </row>
    <row r="834" spans="14:14" ht="15.75" hidden="1" customHeight="1" x14ac:dyDescent="0.25">
      <c r="N834" s="1"/>
    </row>
    <row r="835" spans="14:14" ht="15.75" hidden="1" customHeight="1" x14ac:dyDescent="0.25">
      <c r="N835" s="1"/>
    </row>
    <row r="836" spans="14:14" ht="15.75" hidden="1" customHeight="1" x14ac:dyDescent="0.25">
      <c r="N836" s="1"/>
    </row>
    <row r="837" spans="14:14" ht="15.75" hidden="1" customHeight="1" x14ac:dyDescent="0.25">
      <c r="N837" s="1"/>
    </row>
    <row r="838" spans="14:14" ht="15.75" hidden="1" customHeight="1" x14ac:dyDescent="0.25">
      <c r="N838" s="1"/>
    </row>
    <row r="839" spans="14:14" ht="15.75" hidden="1" customHeight="1" x14ac:dyDescent="0.25">
      <c r="N839" s="1"/>
    </row>
    <row r="840" spans="14:14" ht="15.75" hidden="1" customHeight="1" x14ac:dyDescent="0.25">
      <c r="N840" s="1"/>
    </row>
    <row r="841" spans="14:14" ht="15.75" hidden="1" customHeight="1" x14ac:dyDescent="0.25">
      <c r="N841" s="1"/>
    </row>
    <row r="842" spans="14:14" ht="15.75" hidden="1" customHeight="1" x14ac:dyDescent="0.25">
      <c r="N842" s="1"/>
    </row>
    <row r="843" spans="14:14" ht="15.75" hidden="1" customHeight="1" x14ac:dyDescent="0.25">
      <c r="N843" s="1"/>
    </row>
    <row r="844" spans="14:14" ht="15.75" hidden="1" customHeight="1" x14ac:dyDescent="0.25">
      <c r="N844" s="1"/>
    </row>
    <row r="845" spans="14:14" ht="15.75" hidden="1" customHeight="1" x14ac:dyDescent="0.25">
      <c r="N845" s="1"/>
    </row>
    <row r="846" spans="14:14" ht="15.75" hidden="1" customHeight="1" x14ac:dyDescent="0.25">
      <c r="N846" s="1"/>
    </row>
    <row r="847" spans="14:14" ht="15.75" hidden="1" customHeight="1" x14ac:dyDescent="0.25">
      <c r="N847" s="1"/>
    </row>
    <row r="848" spans="14:14" ht="15.75" hidden="1" customHeight="1" x14ac:dyDescent="0.25">
      <c r="N848" s="1"/>
    </row>
    <row r="849" spans="14:14" ht="15.75" hidden="1" customHeight="1" x14ac:dyDescent="0.25">
      <c r="N849" s="1"/>
    </row>
    <row r="850" spans="14:14" ht="15.75" hidden="1" customHeight="1" x14ac:dyDescent="0.25">
      <c r="N850" s="1"/>
    </row>
    <row r="851" spans="14:14" ht="15.75" hidden="1" customHeight="1" x14ac:dyDescent="0.25">
      <c r="N851" s="1"/>
    </row>
    <row r="852" spans="14:14" ht="15.75" hidden="1" customHeight="1" x14ac:dyDescent="0.25">
      <c r="N852" s="1"/>
    </row>
    <row r="853" spans="14:14" ht="15.75" hidden="1" customHeight="1" x14ac:dyDescent="0.25">
      <c r="N853" s="1"/>
    </row>
    <row r="854" spans="14:14" ht="15.75" hidden="1" customHeight="1" x14ac:dyDescent="0.25">
      <c r="N854" s="1"/>
    </row>
    <row r="855" spans="14:14" ht="15.75" hidden="1" customHeight="1" x14ac:dyDescent="0.25">
      <c r="N855" s="1"/>
    </row>
    <row r="856" spans="14:14" ht="15.75" hidden="1" customHeight="1" x14ac:dyDescent="0.25">
      <c r="N856" s="1"/>
    </row>
    <row r="857" spans="14:14" ht="15.75" hidden="1" customHeight="1" x14ac:dyDescent="0.25">
      <c r="N857" s="1"/>
    </row>
    <row r="858" spans="14:14" ht="15.75" hidden="1" customHeight="1" x14ac:dyDescent="0.25">
      <c r="N858" s="1"/>
    </row>
    <row r="859" spans="14:14" ht="15.75" hidden="1" customHeight="1" x14ac:dyDescent="0.25">
      <c r="N859" s="1"/>
    </row>
    <row r="860" spans="14:14" ht="15.75" hidden="1" customHeight="1" x14ac:dyDescent="0.25">
      <c r="N860" s="1"/>
    </row>
    <row r="861" spans="14:14" ht="15.75" hidden="1" customHeight="1" x14ac:dyDescent="0.25">
      <c r="N861" s="1"/>
    </row>
    <row r="862" spans="14:14" ht="15.75" hidden="1" customHeight="1" x14ac:dyDescent="0.25">
      <c r="N862" s="1"/>
    </row>
    <row r="863" spans="14:14" ht="15.75" hidden="1" customHeight="1" x14ac:dyDescent="0.25">
      <c r="N863" s="1"/>
    </row>
    <row r="864" spans="14:14" ht="15.75" hidden="1" customHeight="1" x14ac:dyDescent="0.25">
      <c r="N864" s="1"/>
    </row>
    <row r="865" spans="14:14" ht="15.75" hidden="1" customHeight="1" x14ac:dyDescent="0.25">
      <c r="N865" s="1"/>
    </row>
    <row r="866" spans="14:14" ht="15.75" hidden="1" customHeight="1" x14ac:dyDescent="0.25">
      <c r="N866" s="1"/>
    </row>
    <row r="867" spans="14:14" ht="15.75" hidden="1" customHeight="1" x14ac:dyDescent="0.25">
      <c r="N867" s="1"/>
    </row>
    <row r="868" spans="14:14" ht="15.75" hidden="1" customHeight="1" x14ac:dyDescent="0.25">
      <c r="N868" s="1"/>
    </row>
    <row r="869" spans="14:14" ht="15.75" hidden="1" customHeight="1" x14ac:dyDescent="0.25">
      <c r="N869" s="1"/>
    </row>
    <row r="870" spans="14:14" ht="15.75" hidden="1" customHeight="1" x14ac:dyDescent="0.25">
      <c r="N870" s="1"/>
    </row>
    <row r="871" spans="14:14" ht="15.75" hidden="1" customHeight="1" x14ac:dyDescent="0.25">
      <c r="N871" s="1"/>
    </row>
    <row r="872" spans="14:14" ht="15.75" hidden="1" customHeight="1" x14ac:dyDescent="0.25">
      <c r="N872" s="1"/>
    </row>
    <row r="873" spans="14:14" ht="15.75" hidden="1" customHeight="1" x14ac:dyDescent="0.25">
      <c r="N873" s="1"/>
    </row>
    <row r="874" spans="14:14" ht="15.75" hidden="1" customHeight="1" x14ac:dyDescent="0.25">
      <c r="N874" s="1"/>
    </row>
    <row r="875" spans="14:14" ht="15.75" hidden="1" customHeight="1" x14ac:dyDescent="0.25">
      <c r="N875" s="1"/>
    </row>
    <row r="876" spans="14:14" ht="15.75" hidden="1" customHeight="1" x14ac:dyDescent="0.25">
      <c r="N876" s="1"/>
    </row>
    <row r="877" spans="14:14" ht="15.75" hidden="1" customHeight="1" x14ac:dyDescent="0.25">
      <c r="N877" s="1"/>
    </row>
    <row r="878" spans="14:14" ht="15.75" hidden="1" customHeight="1" x14ac:dyDescent="0.25">
      <c r="N878" s="1"/>
    </row>
    <row r="879" spans="14:14" ht="15.75" hidden="1" customHeight="1" x14ac:dyDescent="0.25">
      <c r="N879" s="1"/>
    </row>
    <row r="880" spans="14:14" ht="15.75" hidden="1" customHeight="1" x14ac:dyDescent="0.25">
      <c r="N880" s="1"/>
    </row>
    <row r="881" spans="14:14" ht="15.75" hidden="1" customHeight="1" x14ac:dyDescent="0.25">
      <c r="N881" s="1"/>
    </row>
    <row r="882" spans="14:14" ht="15.75" hidden="1" customHeight="1" x14ac:dyDescent="0.25">
      <c r="N882" s="1"/>
    </row>
    <row r="883" spans="14:14" ht="15.75" hidden="1" customHeight="1" x14ac:dyDescent="0.25">
      <c r="N883" s="1"/>
    </row>
    <row r="884" spans="14:14" ht="15.75" hidden="1" customHeight="1" x14ac:dyDescent="0.25">
      <c r="N884" s="1"/>
    </row>
    <row r="885" spans="14:14" ht="15.75" hidden="1" customHeight="1" x14ac:dyDescent="0.25">
      <c r="N885" s="1"/>
    </row>
    <row r="886" spans="14:14" ht="15.75" hidden="1" customHeight="1" x14ac:dyDescent="0.25">
      <c r="N886" s="1"/>
    </row>
    <row r="887" spans="14:14" ht="15.75" hidden="1" customHeight="1" x14ac:dyDescent="0.25">
      <c r="N887" s="1"/>
    </row>
    <row r="888" spans="14:14" ht="15.75" hidden="1" customHeight="1" x14ac:dyDescent="0.25">
      <c r="N888" s="1"/>
    </row>
    <row r="889" spans="14:14" ht="15.75" hidden="1" customHeight="1" x14ac:dyDescent="0.25">
      <c r="N889" s="1"/>
    </row>
    <row r="890" spans="14:14" ht="15.75" hidden="1" customHeight="1" x14ac:dyDescent="0.25">
      <c r="N890" s="1"/>
    </row>
    <row r="891" spans="14:14" ht="15.75" hidden="1" customHeight="1" x14ac:dyDescent="0.25">
      <c r="N891" s="1"/>
    </row>
    <row r="892" spans="14:14" ht="15.75" hidden="1" customHeight="1" x14ac:dyDescent="0.25">
      <c r="N892" s="1"/>
    </row>
    <row r="893" spans="14:14" ht="15.75" hidden="1" customHeight="1" x14ac:dyDescent="0.25">
      <c r="N893" s="1"/>
    </row>
    <row r="894" spans="14:14" ht="15.75" hidden="1" customHeight="1" x14ac:dyDescent="0.25">
      <c r="N894" s="1"/>
    </row>
    <row r="895" spans="14:14" ht="15.75" hidden="1" customHeight="1" x14ac:dyDescent="0.25">
      <c r="N895" s="1"/>
    </row>
    <row r="896" spans="14:14" ht="15.75" hidden="1" customHeight="1" x14ac:dyDescent="0.25">
      <c r="N896" s="1"/>
    </row>
    <row r="897" spans="14:14" ht="15.75" hidden="1" customHeight="1" x14ac:dyDescent="0.25">
      <c r="N897" s="1"/>
    </row>
    <row r="898" spans="14:14" ht="15.75" hidden="1" customHeight="1" x14ac:dyDescent="0.25">
      <c r="N898" s="1"/>
    </row>
    <row r="899" spans="14:14" ht="15.75" hidden="1" customHeight="1" x14ac:dyDescent="0.25">
      <c r="N899" s="1"/>
    </row>
    <row r="900" spans="14:14" ht="15.75" hidden="1" customHeight="1" x14ac:dyDescent="0.25">
      <c r="N900" s="1"/>
    </row>
    <row r="901" spans="14:14" ht="15.75" hidden="1" customHeight="1" x14ac:dyDescent="0.25">
      <c r="N901" s="1"/>
    </row>
    <row r="902" spans="14:14" ht="15.75" hidden="1" customHeight="1" x14ac:dyDescent="0.25">
      <c r="N902" s="1"/>
    </row>
    <row r="903" spans="14:14" ht="15.75" hidden="1" customHeight="1" x14ac:dyDescent="0.25">
      <c r="N903" s="1"/>
    </row>
    <row r="904" spans="14:14" ht="15.75" hidden="1" customHeight="1" x14ac:dyDescent="0.25">
      <c r="N904" s="1"/>
    </row>
    <row r="905" spans="14:14" ht="15.75" hidden="1" customHeight="1" x14ac:dyDescent="0.25">
      <c r="N905" s="1"/>
    </row>
    <row r="906" spans="14:14" ht="15.75" hidden="1" customHeight="1" x14ac:dyDescent="0.25">
      <c r="N906" s="1"/>
    </row>
    <row r="907" spans="14:14" ht="15.75" hidden="1" customHeight="1" x14ac:dyDescent="0.25">
      <c r="N907" s="1"/>
    </row>
    <row r="908" spans="14:14" ht="15.75" hidden="1" customHeight="1" x14ac:dyDescent="0.25">
      <c r="N908" s="1"/>
    </row>
    <row r="909" spans="14:14" ht="15.75" hidden="1" customHeight="1" x14ac:dyDescent="0.25">
      <c r="N909" s="1"/>
    </row>
    <row r="910" spans="14:14" ht="15.75" hidden="1" customHeight="1" x14ac:dyDescent="0.25">
      <c r="N910" s="1"/>
    </row>
    <row r="911" spans="14:14" ht="15.75" hidden="1" customHeight="1" x14ac:dyDescent="0.25">
      <c r="N911" s="1"/>
    </row>
    <row r="912" spans="14:14" ht="15.75" hidden="1" customHeight="1" x14ac:dyDescent="0.25">
      <c r="N912" s="1"/>
    </row>
    <row r="913" spans="14:14" ht="15.75" hidden="1" customHeight="1" x14ac:dyDescent="0.25">
      <c r="N913" s="1"/>
    </row>
    <row r="914" spans="14:14" ht="15.75" hidden="1" customHeight="1" x14ac:dyDescent="0.25">
      <c r="N914" s="1"/>
    </row>
    <row r="915" spans="14:14" ht="15.75" hidden="1" customHeight="1" x14ac:dyDescent="0.25">
      <c r="N915" s="1"/>
    </row>
    <row r="916" spans="14:14" ht="15.75" hidden="1" customHeight="1" x14ac:dyDescent="0.25">
      <c r="N916" s="1"/>
    </row>
    <row r="917" spans="14:14" ht="15.75" hidden="1" customHeight="1" x14ac:dyDescent="0.25">
      <c r="N917" s="1"/>
    </row>
    <row r="918" spans="14:14" ht="15.75" hidden="1" customHeight="1" x14ac:dyDescent="0.25">
      <c r="N918" s="1"/>
    </row>
    <row r="919" spans="14:14" ht="15.75" hidden="1" customHeight="1" x14ac:dyDescent="0.25">
      <c r="N919" s="1"/>
    </row>
    <row r="920" spans="14:14" ht="15.75" hidden="1" customHeight="1" x14ac:dyDescent="0.25">
      <c r="N920" s="1"/>
    </row>
    <row r="921" spans="14:14" ht="15.75" hidden="1" customHeight="1" x14ac:dyDescent="0.25">
      <c r="N921" s="1"/>
    </row>
    <row r="922" spans="14:14" ht="15.75" hidden="1" customHeight="1" x14ac:dyDescent="0.25">
      <c r="N922" s="1"/>
    </row>
    <row r="923" spans="14:14" ht="15.75" hidden="1" customHeight="1" x14ac:dyDescent="0.25">
      <c r="N923" s="1"/>
    </row>
    <row r="924" spans="14:14" ht="15.75" hidden="1" customHeight="1" x14ac:dyDescent="0.25">
      <c r="N924" s="1"/>
    </row>
    <row r="925" spans="14:14" ht="15.75" hidden="1" customHeight="1" x14ac:dyDescent="0.25">
      <c r="N925" s="1"/>
    </row>
    <row r="926" spans="14:14" ht="15.75" hidden="1" customHeight="1" x14ac:dyDescent="0.25">
      <c r="N926" s="1"/>
    </row>
    <row r="927" spans="14:14" ht="15.75" hidden="1" customHeight="1" x14ac:dyDescent="0.25">
      <c r="N927" s="1"/>
    </row>
    <row r="928" spans="14:14" ht="15.75" hidden="1" customHeight="1" x14ac:dyDescent="0.25">
      <c r="N928" s="1"/>
    </row>
    <row r="929" spans="14:14" ht="15.75" hidden="1" customHeight="1" x14ac:dyDescent="0.25">
      <c r="N929" s="1"/>
    </row>
    <row r="930" spans="14:14" ht="15.75" hidden="1" customHeight="1" x14ac:dyDescent="0.25">
      <c r="N930" s="1"/>
    </row>
    <row r="931" spans="14:14" ht="15.75" hidden="1" customHeight="1" x14ac:dyDescent="0.25">
      <c r="N931" s="1"/>
    </row>
    <row r="932" spans="14:14" ht="15.75" hidden="1" customHeight="1" x14ac:dyDescent="0.25">
      <c r="N932" s="1"/>
    </row>
    <row r="933" spans="14:14" ht="15.75" hidden="1" customHeight="1" x14ac:dyDescent="0.25">
      <c r="N933" s="1"/>
    </row>
    <row r="934" spans="14:14" ht="15.75" hidden="1" customHeight="1" x14ac:dyDescent="0.25">
      <c r="N934" s="1"/>
    </row>
    <row r="935" spans="14:14" ht="15.75" hidden="1" customHeight="1" x14ac:dyDescent="0.25">
      <c r="N935" s="1"/>
    </row>
    <row r="936" spans="14:14" ht="15.75" hidden="1" customHeight="1" x14ac:dyDescent="0.25">
      <c r="N936" s="1"/>
    </row>
    <row r="937" spans="14:14" ht="15.75" hidden="1" customHeight="1" x14ac:dyDescent="0.25">
      <c r="N937" s="1"/>
    </row>
    <row r="938" spans="14:14" ht="15.75" hidden="1" customHeight="1" x14ac:dyDescent="0.25">
      <c r="N938" s="1"/>
    </row>
    <row r="939" spans="14:14" ht="15.75" hidden="1" customHeight="1" x14ac:dyDescent="0.25">
      <c r="N939" s="1"/>
    </row>
    <row r="940" spans="14:14" ht="15.75" hidden="1" customHeight="1" x14ac:dyDescent="0.25">
      <c r="N940" s="1"/>
    </row>
    <row r="941" spans="14:14" ht="15.75" hidden="1" customHeight="1" x14ac:dyDescent="0.25">
      <c r="N941" s="1"/>
    </row>
    <row r="942" spans="14:14" ht="15.75" hidden="1" customHeight="1" x14ac:dyDescent="0.25">
      <c r="N942" s="1"/>
    </row>
    <row r="943" spans="14:14" ht="15.75" hidden="1" customHeight="1" x14ac:dyDescent="0.25">
      <c r="N943" s="1"/>
    </row>
    <row r="944" spans="14:14" ht="15.75" hidden="1" customHeight="1" x14ac:dyDescent="0.25">
      <c r="N944" s="1"/>
    </row>
    <row r="945" spans="14:14" ht="15.75" hidden="1" customHeight="1" x14ac:dyDescent="0.25">
      <c r="N945" s="1"/>
    </row>
    <row r="946" spans="14:14" ht="15.75" hidden="1" customHeight="1" x14ac:dyDescent="0.25">
      <c r="N946" s="1"/>
    </row>
    <row r="947" spans="14:14" ht="15.75" hidden="1" customHeight="1" x14ac:dyDescent="0.25">
      <c r="N947" s="1"/>
    </row>
    <row r="948" spans="14:14" ht="15.75" hidden="1" customHeight="1" x14ac:dyDescent="0.25">
      <c r="N948" s="1"/>
    </row>
    <row r="949" spans="14:14" ht="15.75" hidden="1" customHeight="1" x14ac:dyDescent="0.25">
      <c r="N949" s="1"/>
    </row>
    <row r="950" spans="14:14" ht="15.75" hidden="1" customHeight="1" x14ac:dyDescent="0.25">
      <c r="N950" s="1"/>
    </row>
    <row r="951" spans="14:14" ht="15.75" hidden="1" customHeight="1" x14ac:dyDescent="0.25">
      <c r="N951" s="1"/>
    </row>
    <row r="952" spans="14:14" ht="15.75" hidden="1" customHeight="1" x14ac:dyDescent="0.25">
      <c r="N952" s="1"/>
    </row>
    <row r="953" spans="14:14" ht="15.75" hidden="1" customHeight="1" x14ac:dyDescent="0.25">
      <c r="N953" s="1"/>
    </row>
    <row r="954" spans="14:14" ht="15.75" hidden="1" customHeight="1" x14ac:dyDescent="0.25">
      <c r="N954" s="1"/>
    </row>
    <row r="955" spans="14:14" ht="15.75" hidden="1" customHeight="1" x14ac:dyDescent="0.25">
      <c r="N955" s="1"/>
    </row>
    <row r="956" spans="14:14" ht="15.75" hidden="1" customHeight="1" x14ac:dyDescent="0.25">
      <c r="N956" s="1"/>
    </row>
    <row r="957" spans="14:14" ht="15.75" hidden="1" customHeight="1" x14ac:dyDescent="0.25">
      <c r="N957" s="1"/>
    </row>
    <row r="958" spans="14:14" ht="15.75" hidden="1" customHeight="1" x14ac:dyDescent="0.25">
      <c r="N958" s="1"/>
    </row>
    <row r="959" spans="14:14" ht="15.75" hidden="1" customHeight="1" x14ac:dyDescent="0.25">
      <c r="N959" s="1"/>
    </row>
    <row r="960" spans="14:14" ht="15.75" hidden="1" customHeight="1" x14ac:dyDescent="0.25">
      <c r="N960" s="1"/>
    </row>
    <row r="961" spans="14:14" ht="15.75" hidden="1" customHeight="1" x14ac:dyDescent="0.25">
      <c r="N961" s="1"/>
    </row>
    <row r="962" spans="14:14" ht="15.75" hidden="1" customHeight="1" x14ac:dyDescent="0.25">
      <c r="N962" s="1"/>
    </row>
    <row r="963" spans="14:14" ht="15.75" hidden="1" customHeight="1" x14ac:dyDescent="0.25">
      <c r="N963" s="1"/>
    </row>
    <row r="964" spans="14:14" ht="15.75" hidden="1" customHeight="1" x14ac:dyDescent="0.25">
      <c r="N964" s="1"/>
    </row>
    <row r="965" spans="14:14" ht="15.75" hidden="1" customHeight="1" x14ac:dyDescent="0.25">
      <c r="N965" s="1"/>
    </row>
    <row r="966" spans="14:14" ht="15.75" hidden="1" customHeight="1" x14ac:dyDescent="0.25">
      <c r="N966" s="1"/>
    </row>
    <row r="967" spans="14:14" ht="15.75" hidden="1" customHeight="1" x14ac:dyDescent="0.25">
      <c r="N967" s="1"/>
    </row>
    <row r="968" spans="14:14" ht="15.75" hidden="1" customHeight="1" x14ac:dyDescent="0.25">
      <c r="N968" s="1"/>
    </row>
    <row r="969" spans="14:14" ht="15.75" hidden="1" customHeight="1" x14ac:dyDescent="0.25">
      <c r="N969" s="1"/>
    </row>
    <row r="970" spans="14:14" ht="15.75" hidden="1" customHeight="1" x14ac:dyDescent="0.25">
      <c r="N970" s="1"/>
    </row>
    <row r="971" spans="14:14" ht="15.75" hidden="1" customHeight="1" x14ac:dyDescent="0.25">
      <c r="N971" s="1"/>
    </row>
    <row r="972" spans="14:14" ht="15" hidden="1" customHeight="1" x14ac:dyDescent="0.25"/>
    <row r="973" spans="14:14" ht="15" hidden="1" customHeight="1" x14ac:dyDescent="0.25"/>
    <row r="974" spans="14:14" ht="15" hidden="1" customHeight="1" x14ac:dyDescent="0.25"/>
    <row r="975" spans="14:14" ht="15" hidden="1" customHeight="1" x14ac:dyDescent="0.25"/>
    <row r="976" spans="14:14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</sheetData>
  <sheetProtection algorithmName="SHA-512" hashValue="Tti5Gim5Nt+ChZZNRjp13IlpVnHoWUrpT1RyzdVbIBzI3YfX6g3PuDp0H5hILVtWu8xVI7NbF3kTuhEAIO6Xig==" saltValue="FrAcX30UXWS9dQWBZY/s2g==" spinCount="100000" sheet="1" objects="1" scenarios="1" selectLockedCells="1"/>
  <mergeCells count="15">
    <mergeCell ref="A25:AA25"/>
    <mergeCell ref="A21:A22"/>
    <mergeCell ref="C1:G1"/>
    <mergeCell ref="I1:M1"/>
    <mergeCell ref="O1:S1"/>
    <mergeCell ref="U1:Y1"/>
    <mergeCell ref="C3:G3"/>
    <mergeCell ref="I3:M3"/>
    <mergeCell ref="O3:S3"/>
    <mergeCell ref="U3:Y3"/>
    <mergeCell ref="A10:A11"/>
    <mergeCell ref="C14:G14"/>
    <mergeCell ref="I14:M14"/>
    <mergeCell ref="O14:S14"/>
    <mergeCell ref="U14:Y14"/>
  </mergeCells>
  <hyperlinks>
    <hyperlink ref="A25" r:id="rId1"/>
  </hyperlinks>
  <pageMargins left="0.7" right="0.7" top="0.75" bottom="0.75" header="0" footer="0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02"/>
  <sheetViews>
    <sheetView showGridLines="0" zoomScale="90" zoomScaleNormal="90" workbookViewId="0">
      <selection activeCell="S5" sqref="S5"/>
    </sheetView>
  </sheetViews>
  <sheetFormatPr baseColWidth="10" defaultColWidth="0" defaultRowHeight="0" customHeight="1" zeroHeight="1" x14ac:dyDescent="0.25"/>
  <cols>
    <col min="1" max="1" width="19.85546875" customWidth="1"/>
    <col min="2" max="2" width="0.7109375" customWidth="1"/>
    <col min="3" max="3" width="20" customWidth="1"/>
    <col min="4" max="5" width="7.85546875" customWidth="1"/>
    <col min="6" max="6" width="10" customWidth="1"/>
    <col min="7" max="7" width="8.5703125" customWidth="1"/>
    <col min="8" max="8" width="5.7109375" customWidth="1"/>
    <col min="9" max="9" width="21.85546875" customWidth="1"/>
    <col min="10" max="11" width="7.85546875" customWidth="1"/>
    <col min="12" max="12" width="10" customWidth="1"/>
    <col min="13" max="13" width="8.5703125" customWidth="1"/>
    <col min="14" max="14" width="0.42578125" customWidth="1"/>
    <col min="15" max="15" width="31.140625" customWidth="1"/>
    <col min="16" max="17" width="7.85546875" customWidth="1"/>
    <col min="18" max="18" width="10" customWidth="1"/>
    <col min="19" max="19" width="8.5703125" customWidth="1"/>
    <col min="20" max="20" width="5.7109375" customWidth="1"/>
    <col min="21" max="21" width="21.140625" customWidth="1"/>
    <col min="22" max="23" width="7.85546875" customWidth="1"/>
    <col min="24" max="24" width="10" customWidth="1"/>
    <col min="25" max="25" width="8.5703125" customWidth="1"/>
    <col min="26" max="26" width="5.7109375" customWidth="1"/>
    <col min="27" max="27" width="11.42578125" customWidth="1"/>
    <col min="28" max="31" width="0" hidden="1" customWidth="1"/>
    <col min="32" max="32" width="0.42578125" hidden="1" customWidth="1"/>
    <col min="33" max="33" width="20" hidden="1" customWidth="1"/>
    <col min="34" max="35" width="7.85546875" hidden="1" customWidth="1"/>
    <col min="36" max="36" width="10" hidden="1" customWidth="1"/>
    <col min="37" max="37" width="8.42578125" hidden="1" customWidth="1"/>
    <col min="38" max="38" width="5.7109375" hidden="1" customWidth="1"/>
    <col min="39" max="39" width="0" hidden="1" customWidth="1"/>
    <col min="40" max="40" width="20" hidden="1" customWidth="1"/>
    <col min="41" max="42" width="7.85546875" hidden="1" customWidth="1"/>
    <col min="43" max="43" width="10" hidden="1" customWidth="1"/>
    <col min="44" max="44" width="8.42578125" hidden="1" customWidth="1"/>
    <col min="45" max="45" width="5.7109375" hidden="1" customWidth="1"/>
    <col min="46" max="53" width="0" hidden="1" customWidth="1"/>
    <col min="54" max="16384" width="14.42578125" hidden="1"/>
  </cols>
  <sheetData>
    <row r="1" spans="1:27" ht="15" x14ac:dyDescent="0.25">
      <c r="A1" s="1"/>
      <c r="B1" s="1"/>
      <c r="C1" s="210"/>
      <c r="D1" s="211"/>
      <c r="E1" s="211"/>
      <c r="F1" s="211"/>
      <c r="G1" s="211"/>
      <c r="H1" s="1"/>
      <c r="I1" s="210"/>
      <c r="J1" s="211"/>
      <c r="K1" s="211"/>
      <c r="L1" s="211"/>
      <c r="M1" s="211"/>
      <c r="N1" s="1"/>
      <c r="O1" s="210"/>
      <c r="P1" s="211"/>
      <c r="Q1" s="211"/>
      <c r="R1" s="211"/>
      <c r="S1" s="211"/>
      <c r="T1" s="1"/>
      <c r="U1" s="210"/>
      <c r="V1" s="211"/>
      <c r="W1" s="211"/>
      <c r="X1" s="211"/>
      <c r="Y1" s="211"/>
      <c r="Z1" s="1"/>
      <c r="AA1" s="1"/>
    </row>
    <row r="2" spans="1:27" ht="15.75" thickBot="1" x14ac:dyDescent="0.3">
      <c r="A2" s="1"/>
      <c r="B2" s="1"/>
      <c r="C2" s="3"/>
      <c r="D2" s="3"/>
      <c r="E2" s="3"/>
      <c r="F2" s="3"/>
      <c r="G2" s="3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"/>
      <c r="U2" s="3"/>
      <c r="V2" s="3"/>
      <c r="W2" s="3"/>
      <c r="X2" s="3"/>
      <c r="Y2" s="3"/>
      <c r="Z2" s="1"/>
      <c r="AA2" s="1"/>
    </row>
    <row r="3" spans="1:27" ht="18.75" customHeight="1" x14ac:dyDescent="0.25">
      <c r="A3" s="1"/>
      <c r="B3" s="4"/>
      <c r="C3" s="223" t="str">
        <f>IF(Profil!$H$51="","SEANCE 1",I3-2)</f>
        <v>SEANCE 1</v>
      </c>
      <c r="D3" s="224"/>
      <c r="E3" s="224"/>
      <c r="F3" s="224"/>
      <c r="G3" s="224"/>
      <c r="H3" s="114"/>
      <c r="I3" s="223" t="str">
        <f>IF(Profil!$H$51="","SEANCE 2",O3-1)</f>
        <v>SEANCE 2</v>
      </c>
      <c r="J3" s="224"/>
      <c r="K3" s="224"/>
      <c r="L3" s="224"/>
      <c r="M3" s="224"/>
      <c r="N3" s="27"/>
      <c r="O3" s="225" t="str">
        <f>IF(Profil!$H$51="","SEANCE 3",U3-2)</f>
        <v>SEANCE 3</v>
      </c>
      <c r="P3" s="226"/>
      <c r="Q3" s="226"/>
      <c r="R3" s="226"/>
      <c r="S3" s="226"/>
      <c r="T3" s="114"/>
      <c r="U3" s="217" t="str">
        <f>IF(Profil!$H$51="","SEANCE 4",U14-7)</f>
        <v>SEANCE 4</v>
      </c>
      <c r="V3" s="218"/>
      <c r="W3" s="218"/>
      <c r="X3" s="218"/>
      <c r="Y3" s="218"/>
      <c r="Z3" s="114"/>
      <c r="AA3" s="1"/>
    </row>
    <row r="4" spans="1:27" ht="15" customHeight="1" x14ac:dyDescent="0.25">
      <c r="A4" s="1"/>
      <c r="B4" s="75"/>
      <c r="C4" s="76" t="s">
        <v>4</v>
      </c>
      <c r="D4" s="77" t="s">
        <v>5</v>
      </c>
      <c r="E4" s="77" t="s">
        <v>6</v>
      </c>
      <c r="F4" s="77" t="s">
        <v>7</v>
      </c>
      <c r="G4" s="77" t="s">
        <v>8</v>
      </c>
      <c r="H4" s="115"/>
      <c r="I4" s="77" t="s">
        <v>4</v>
      </c>
      <c r="J4" s="77" t="s">
        <v>5</v>
      </c>
      <c r="K4" s="90" t="s">
        <v>6</v>
      </c>
      <c r="L4" s="77" t="s">
        <v>7</v>
      </c>
      <c r="M4" s="77" t="s">
        <v>8</v>
      </c>
      <c r="N4" s="2"/>
      <c r="O4" s="105" t="s">
        <v>4</v>
      </c>
      <c r="P4" s="77" t="s">
        <v>5</v>
      </c>
      <c r="Q4" s="77" t="s">
        <v>6</v>
      </c>
      <c r="R4" s="77" t="s">
        <v>7</v>
      </c>
      <c r="S4" s="77" t="s">
        <v>8</v>
      </c>
      <c r="T4" s="115"/>
      <c r="U4" s="76" t="s">
        <v>4</v>
      </c>
      <c r="V4" s="77" t="s">
        <v>5</v>
      </c>
      <c r="W4" s="77" t="s">
        <v>6</v>
      </c>
      <c r="X4" s="77" t="s">
        <v>7</v>
      </c>
      <c r="Y4" s="77" t="s">
        <v>8</v>
      </c>
      <c r="Z4" s="115"/>
      <c r="AA4" s="1"/>
    </row>
    <row r="5" spans="1:27" ht="15" customHeight="1" x14ac:dyDescent="0.25">
      <c r="A5" s="1"/>
      <c r="B5" s="75"/>
      <c r="C5" s="78" t="s">
        <v>2</v>
      </c>
      <c r="D5" s="64">
        <v>1</v>
      </c>
      <c r="E5" s="64">
        <v>6</v>
      </c>
      <c r="F5" s="74" t="s">
        <v>9</v>
      </c>
      <c r="G5" s="185"/>
      <c r="H5" s="116" t="s">
        <v>10</v>
      </c>
      <c r="I5" s="80" t="str">
        <f>IF(Profil!$B$37="SDT SUMO",IF(Profil!$XFA$43="Fin","Knee Pause Deadlift","Comp Deadlift"),IF(Profil!$XFA$43="Fin","Knee Pause Deadlift",IF(Profil!$XFA$41="Bassin","Low Pause Deadlift",IF(Profil!$XFA$43="Bas","Deficit Deadlift","Comp Deadlift"))))</f>
        <v>Knee Pause Deadlift</v>
      </c>
      <c r="J5" s="64">
        <v>1</v>
      </c>
      <c r="K5" s="64">
        <v>5</v>
      </c>
      <c r="L5" s="64" t="str">
        <f>IF(I5="Low Pause Deadlift",MROUND((0.69*Profil!$F$37),Profil!$F$12)&amp;"kg",IF(I5="Deficit Deadlift",MROUND((0.68*Profil!$F$37),Profil!$F$12)&amp;"kg",IF(Profil!$XFB$45&gt;18,"RPE6",IF(I5="Knee Pause Deadlift",MROUND((0.72*Profil!$F$37),Profil!$F$12)&amp;"kg",MROUND((0.74*Profil!$F$37),Profil!$F$12)&amp;"kg"))))</f>
        <v>0kg</v>
      </c>
      <c r="M5" s="186"/>
      <c r="N5" s="2"/>
      <c r="O5" s="78" t="str">
        <f>IF(Profil!$XFA$19="G","Tempo 2:1:2 Squat",IF(Profil!$XFA$19="GM","Tempo 2:1:0 HB Squat",IF(Profil!$XFA$19="HD","Pause HB Squat",IF(Profil!$XFA$21="Bas","Pause Squat",IF(Profil!$XFA$21="Milieu","Tempo 3:0:0 Squat","Comp Squat")))))</f>
        <v>Comp Squat</v>
      </c>
      <c r="P5" s="64">
        <v>1</v>
      </c>
      <c r="Q5" s="64">
        <v>3</v>
      </c>
      <c r="R5" s="74" t="s">
        <v>9</v>
      </c>
      <c r="S5" s="185"/>
      <c r="T5" s="116" t="s">
        <v>10</v>
      </c>
      <c r="U5" s="79" t="s">
        <v>2</v>
      </c>
      <c r="V5" s="64">
        <v>1</v>
      </c>
      <c r="W5" s="80">
        <f>IF(Profil!$XFB$23&gt;13,3,2)</f>
        <v>3</v>
      </c>
      <c r="X5" s="80" t="str">
        <f>IF(Profil!$XFB$23&gt;13,"RPE7","RPE7")</f>
        <v>RPE7</v>
      </c>
      <c r="Y5" s="184"/>
      <c r="Z5" s="116" t="s">
        <v>10</v>
      </c>
      <c r="AA5" s="1"/>
    </row>
    <row r="6" spans="1:27" ht="15" customHeight="1" x14ac:dyDescent="0.25">
      <c r="A6" s="1"/>
      <c r="B6" s="75"/>
      <c r="C6" s="79"/>
      <c r="D6" s="80">
        <f>IF(Profil!$XFB$23&lt;10,2,3)</f>
        <v>3</v>
      </c>
      <c r="E6" s="64">
        <v>8</v>
      </c>
      <c r="F6" s="66" t="str">
        <f>MROUND((0.68*Profil!$F$15),Profil!$F$12)&amp;"kg"</f>
        <v>0kg</v>
      </c>
      <c r="G6" s="129"/>
      <c r="H6" s="116" t="s">
        <v>11</v>
      </c>
      <c r="I6" s="74" t="str">
        <f>IF(I5="Deficit Deadlift","Snatch Grip RDL",IF(Profil!$B$37="SDT TRADI","Romanian Deadlift",IF(Profil!$XFA$41="Dos","Pause Deadlift",IF(Profil!$XFA$41="Bassin","Tempo 3:0:3 Deadlift",IF(Profil!$XFA$41="Genoux","Tempo 3:0:3 Deadlift",IF(Profil!$XFA$43="Fin","Snatch Grip RDL",""))))))</f>
        <v>Romanian Deadlift</v>
      </c>
      <c r="J6" s="80">
        <f>IF(Profil!$B$37="SDT TRADI",2,IF(Profil!$XFB$45&gt;20,3,2))</f>
        <v>2</v>
      </c>
      <c r="K6" s="74">
        <f>IF($I$6="Romanian Deadlift",10,IF($I$6="Snatch Grip RDL",8,IF(Profil!$XFA$41="Dos",6,IF(Profil!$XFA$41="Bassin",5,IF(Profil!$XFA$41="Genoux",5,IF(Profil!$XFA$43="Fin",8,6))))))</f>
        <v>10</v>
      </c>
      <c r="L6" s="120" t="str">
        <f>IF($I$6="Romanian Deadlift",MROUND((0.4*Profil!$F$37),Profil!$F$12)&amp;"kg",IF($I$6="Snatch Grip RDL",MROUND((0.4*Profil!$F$37),Profil!$F$12)&amp;"kg",IF(Profil!$XFA$41="Dos",MROUND((0.66*Profil!$F$37),Profil!$F$12)&amp;"kg",IF(Profil!$XFA$41="Bassin",MROUND((0.65*Profil!$F$37),Profil!$F$12)&amp;"kg",IF(Profil!$XFA$41="Genoux",MROUND((0.65*Profil!$F$37),Profil!$F$12)&amp;"kg",IF(Profil!$XFA$43="Fin",MROUND((0.4*Profil!$F$37),Profil!$F$12)&amp;"kg",MROUND((0.7*Profil!$F$37),Profil!$F$12)&amp;"kg"))))))</f>
        <v>0kg</v>
      </c>
      <c r="M6" s="125"/>
      <c r="N6" s="2"/>
      <c r="O6" s="78" t="str">
        <f>IF(Profil!$XFA$19="G","(Contrôle genoux)",IF(Profil!$XFA$19="GM","(Reste vertical sur poussée)",IF(Profil!$XFA$19="HD","Frontsquat",IF(Profil!$XFA$21="Bas","(Max de tension en bas)",""))))</f>
        <v/>
      </c>
      <c r="P6" s="80">
        <f>IF(Profil!$XFB$23&lt;20,2,3)</f>
        <v>2</v>
      </c>
      <c r="Q6" s="64" t="str">
        <f>IF(Profil!$XFA$19="HD","8","5")</f>
        <v>5</v>
      </c>
      <c r="R6" s="64" t="str">
        <f>IF(Profil!$XFA$19="HD",MROUND((0.4*Profil!$F$15),Profil!$F$12)&amp;"kg","-14%")</f>
        <v>-14%</v>
      </c>
      <c r="S6" s="129"/>
      <c r="T6" s="116" t="s">
        <v>11</v>
      </c>
      <c r="U6" s="79"/>
      <c r="V6" s="64">
        <v>3</v>
      </c>
      <c r="W6" s="64">
        <v>5</v>
      </c>
      <c r="X6" s="66" t="str">
        <f>MROUND((0.77*Profil!$F$15),Profil!$F$12)&amp;"kg"</f>
        <v>0kg</v>
      </c>
      <c r="Y6" s="131"/>
      <c r="Z6" s="116" t="s">
        <v>11</v>
      </c>
      <c r="AA6" s="1"/>
    </row>
    <row r="7" spans="1:27" ht="15" customHeight="1" x14ac:dyDescent="0.25">
      <c r="A7" s="1"/>
      <c r="B7" s="75"/>
      <c r="C7" s="81" t="s">
        <v>0</v>
      </c>
      <c r="D7" s="82">
        <v>1</v>
      </c>
      <c r="E7" s="82">
        <v>6</v>
      </c>
      <c r="F7" s="83" t="str">
        <f>IF(Profil!$XFB$34&lt;16,"RPE7","RPE8")</f>
        <v>RPE8</v>
      </c>
      <c r="G7" s="179"/>
      <c r="H7" s="116" t="s">
        <v>13</v>
      </c>
      <c r="I7" s="92" t="s">
        <v>0</v>
      </c>
      <c r="J7" s="82">
        <f>IF(Profil!$XFB$34&gt;25,6,IF(Profil!$XFB$34&gt;18,5,IF(Profil!$XFB$34&gt;12,4,3)))</f>
        <v>4</v>
      </c>
      <c r="K7" s="92">
        <f>IF(Profil!$D$8="FEMME",7,6)</f>
        <v>6</v>
      </c>
      <c r="L7" s="121" t="str">
        <f>MROUND((0.74*Profil!$F$26),Profil!$F$12)&amp;"kg"</f>
        <v>0kg</v>
      </c>
      <c r="M7" s="126"/>
      <c r="N7" s="2"/>
      <c r="O7" s="106" t="s">
        <v>26</v>
      </c>
      <c r="P7" s="82">
        <v>1</v>
      </c>
      <c r="Q7" s="65">
        <v>1</v>
      </c>
      <c r="R7" s="87" t="str">
        <f>IF(Profil!$XFB$34&lt;12,"RPE6",IF(Profil!$XFB$34&lt;17,"RPE6,5",IF(Profil!$XFB$34&lt;22,"RPE7",IF(Profil!$XFB$34&lt;27,"RPE7,5","RPE8"))))</f>
        <v>RPE6,5</v>
      </c>
      <c r="S7" s="187"/>
      <c r="T7" s="116" t="s">
        <v>13</v>
      </c>
      <c r="U7" s="86" t="s">
        <v>3</v>
      </c>
      <c r="V7" s="65">
        <v>1</v>
      </c>
      <c r="W7" s="82">
        <f>IF(Profil!$XFB$45&gt;13,3,2)</f>
        <v>3</v>
      </c>
      <c r="X7" s="82" t="str">
        <f>IF(Profil!$XFB$45&gt;13,"RPE7","RPE7")</f>
        <v>RPE7</v>
      </c>
      <c r="Y7" s="183"/>
      <c r="Z7" s="116" t="s">
        <v>13</v>
      </c>
      <c r="AA7" s="1"/>
    </row>
    <row r="8" spans="1:27" ht="15" customHeight="1" x14ac:dyDescent="0.25">
      <c r="A8" s="1"/>
      <c r="B8" s="75"/>
      <c r="C8" s="84"/>
      <c r="D8" s="82">
        <f>IF(Profil!$XFB$34&lt;16,2,3)</f>
        <v>3</v>
      </c>
      <c r="E8" s="82">
        <v>6</v>
      </c>
      <c r="F8" s="85">
        <v>-0.1</v>
      </c>
      <c r="G8" s="127"/>
      <c r="H8" s="116" t="s">
        <v>15</v>
      </c>
      <c r="I8" s="93"/>
      <c r="J8" s="93"/>
      <c r="K8" s="93"/>
      <c r="L8" s="121"/>
      <c r="M8" s="126"/>
      <c r="N8" s="2"/>
      <c r="O8" s="106" t="str">
        <f>IF(Profil!$XFA$30="Pause","",IF(Profil!$XFA$30="Traj","Tempo 4:1:4 Bench","Tshirt Pause Bench"))</f>
        <v>Tshirt Pause Bench</v>
      </c>
      <c r="P8" s="69" t="str">
        <f>IF(Profil!$XFA$30="Pause","4",IF(Profil!$XFA$30="Traj","3","3"))</f>
        <v>3</v>
      </c>
      <c r="Q8" s="69" t="str">
        <f>IF(Profil!$XFA$30="Pause","4",IF(Profil!$XFA$30="Traj","5","8"))</f>
        <v>8</v>
      </c>
      <c r="R8" s="69" t="str">
        <f>IF(Profil!$XFA$30="Pause",MROUND((0.745*Profil!$F$26),Profil!$F$12)&amp;"kg",IF(Profil!$XFA$30="Traj",MROUND((0.6*Profil!$F$26),Profil!$F$12)&amp;"kg",MROUND((0.68*Profil!$F$26),Profil!$F$12)&amp;"kg"))</f>
        <v>0kg</v>
      </c>
      <c r="S8" s="127"/>
      <c r="T8" s="116" t="s">
        <v>15</v>
      </c>
      <c r="U8" s="110"/>
      <c r="V8" s="65">
        <v>3</v>
      </c>
      <c r="W8" s="65">
        <v>4</v>
      </c>
      <c r="X8" s="93" t="str">
        <f>IF(Profil!$B$37="SDT TRADI",MROUND((0.76*Profil!$F$37),Profil!$F$12)&amp;"kg",MROUND((0.77*Profil!$F$37),Profil!$F$12)&amp;"kg")</f>
        <v>0kg</v>
      </c>
      <c r="Y8" s="132"/>
      <c r="Z8" s="116" t="s">
        <v>15</v>
      </c>
      <c r="AA8" s="1"/>
    </row>
    <row r="9" spans="1:27" ht="15" customHeight="1" x14ac:dyDescent="0.25">
      <c r="A9" s="1"/>
      <c r="B9" s="75"/>
      <c r="C9" s="79" t="s">
        <v>1</v>
      </c>
      <c r="D9" s="64">
        <v>3</v>
      </c>
      <c r="E9" s="64">
        <v>10</v>
      </c>
      <c r="F9" s="74" t="s">
        <v>12</v>
      </c>
      <c r="G9" s="128"/>
      <c r="H9" s="116" t="s">
        <v>17</v>
      </c>
      <c r="I9" s="111" t="s">
        <v>65</v>
      </c>
      <c r="J9" s="96">
        <v>3</v>
      </c>
      <c r="K9" s="97" t="s">
        <v>16</v>
      </c>
      <c r="L9" s="122"/>
      <c r="M9" s="126"/>
      <c r="N9" s="2"/>
      <c r="O9" s="78" t="s">
        <v>31</v>
      </c>
      <c r="P9" s="64">
        <v>3</v>
      </c>
      <c r="Q9" s="64">
        <v>10</v>
      </c>
      <c r="R9" s="74" t="s">
        <v>12</v>
      </c>
      <c r="S9" s="128"/>
      <c r="T9" s="116" t="s">
        <v>17</v>
      </c>
      <c r="U9" s="79" t="s">
        <v>0</v>
      </c>
      <c r="V9" s="64">
        <v>1</v>
      </c>
      <c r="W9" s="80">
        <f>IF(Profil!$XFB$34&gt;13,2,3)</f>
        <v>2</v>
      </c>
      <c r="X9" s="80" t="str">
        <f>IF(Profil!$XFB$34&gt;13,"RPE7","RPE7")</f>
        <v>RPE7</v>
      </c>
      <c r="Y9" s="184"/>
      <c r="Z9" s="116" t="s">
        <v>17</v>
      </c>
      <c r="AA9" s="1"/>
    </row>
    <row r="10" spans="1:27" ht="15" customHeight="1" x14ac:dyDescent="0.25">
      <c r="A10" s="208" t="s">
        <v>18</v>
      </c>
      <c r="B10" s="75"/>
      <c r="C10" s="86" t="s">
        <v>67</v>
      </c>
      <c r="D10" s="65">
        <v>3</v>
      </c>
      <c r="E10" s="65">
        <v>10</v>
      </c>
      <c r="F10" s="87" t="s">
        <v>12</v>
      </c>
      <c r="G10" s="128"/>
      <c r="H10" s="115"/>
      <c r="I10" s="112" t="s">
        <v>22</v>
      </c>
      <c r="J10" s="99">
        <v>3</v>
      </c>
      <c r="K10" s="100" t="s">
        <v>16</v>
      </c>
      <c r="L10" s="123"/>
      <c r="M10" s="126"/>
      <c r="N10" s="1"/>
      <c r="O10" s="86" t="str">
        <f>IF(Profil!$XFA$49="Dos","Bird Dog",IF(Profil!$XFA$49="Ep","Reverse KB Press",IF(Profil!$XFA$49="Coud","Extension nuque élastique",IF(Profil!$XFA$49="Poig","Extension poignets",IF(Profil!$XFA$49="Bass","One Leg RDL",IF(Profil!$XFA$49="Genx","Nordic Leg Curl","Flexions de cheville"))))))</f>
        <v>Flexions de cheville</v>
      </c>
      <c r="P10" s="65">
        <v>3</v>
      </c>
      <c r="Q10" s="65"/>
      <c r="R10" s="65"/>
      <c r="S10" s="128"/>
      <c r="T10" s="115"/>
      <c r="U10" s="79"/>
      <c r="V10" s="80">
        <f>IF(Profil!$XFB$34&gt;17,4,3)</f>
        <v>3</v>
      </c>
      <c r="W10" s="64">
        <v>5</v>
      </c>
      <c r="X10" s="66" t="str">
        <f>MROUND((0.77*Profil!$F$26),Profil!$F$12)&amp;"kg"</f>
        <v>0kg</v>
      </c>
      <c r="Y10" s="128"/>
      <c r="Z10" s="115"/>
      <c r="AA10" s="1"/>
    </row>
    <row r="11" spans="1:27" ht="15" customHeight="1" thickBot="1" x14ac:dyDescent="0.3">
      <c r="A11" s="209"/>
      <c r="B11" s="75"/>
      <c r="C11" s="88" t="s">
        <v>19</v>
      </c>
      <c r="D11" s="67">
        <v>3</v>
      </c>
      <c r="E11" s="89" t="s">
        <v>20</v>
      </c>
      <c r="F11" s="67"/>
      <c r="G11" s="128"/>
      <c r="H11" s="117"/>
      <c r="I11" s="113" t="s">
        <v>66</v>
      </c>
      <c r="J11" s="102">
        <v>3</v>
      </c>
      <c r="K11" s="103"/>
      <c r="L11" s="124"/>
      <c r="M11" s="126"/>
      <c r="N11" s="2"/>
      <c r="O11" s="107" t="s">
        <v>21</v>
      </c>
      <c r="P11" s="108">
        <v>3</v>
      </c>
      <c r="Q11" s="109"/>
      <c r="R11" s="108"/>
      <c r="S11" s="128"/>
      <c r="T11" s="117"/>
      <c r="U11" s="70" t="str">
        <f>IF(Profil!$XFA$32="Bas","2ct Low Pin Press",IF(Profil!$XFA$32="Milieu","Larsen Press","Close Grip Bench"))</f>
        <v>Close Grip Bench</v>
      </c>
      <c r="V11" s="67">
        <v>2</v>
      </c>
      <c r="W11" s="71">
        <f>IF(Profil!$XFA$32="Bas",6,8)</f>
        <v>8</v>
      </c>
      <c r="X11" s="67" t="str">
        <f>IF(Profil!$XFA$32="Bas",MROUND((0.65*Profil!$F$26),Profil!$F$12)&amp;"kg",MROUND((0.63*Profil!$F$26),Profil!$F$12)&amp;"kg")</f>
        <v>0kg</v>
      </c>
      <c r="Y11" s="128"/>
      <c r="Z11" s="117"/>
      <c r="AA11" s="1"/>
    </row>
    <row r="12" spans="1:27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30"/>
      <c r="P12" s="130"/>
      <c r="Q12" s="130"/>
      <c r="R12" s="130"/>
      <c r="S12" s="1"/>
      <c r="T12" s="1"/>
      <c r="U12" s="1"/>
      <c r="V12" s="1"/>
      <c r="W12" s="1"/>
      <c r="X12" s="1"/>
      <c r="Y12" s="1"/>
      <c r="Z12" s="1"/>
      <c r="AA12" s="1"/>
    </row>
    <row r="13" spans="1:27" ht="15" customHeight="1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.75" customHeight="1" x14ac:dyDescent="0.25">
      <c r="A14" s="1"/>
      <c r="B14" s="4"/>
      <c r="C14" s="223" t="str">
        <f>IF(Profil!$H$51="","SEANCE 5",I14-2)</f>
        <v>SEANCE 5</v>
      </c>
      <c r="D14" s="224"/>
      <c r="E14" s="224"/>
      <c r="F14" s="224"/>
      <c r="G14" s="224"/>
      <c r="H14" s="114"/>
      <c r="I14" s="223" t="str">
        <f>IF(Profil!$H$51="","SEANCE 6",O14-1)</f>
        <v>SEANCE 6</v>
      </c>
      <c r="J14" s="224"/>
      <c r="K14" s="224"/>
      <c r="L14" s="224"/>
      <c r="M14" s="224"/>
      <c r="N14" s="27"/>
      <c r="O14" s="225" t="str">
        <f>IF(Profil!$H$51="","SEANCE 7",U14-2)</f>
        <v>SEANCE 7</v>
      </c>
      <c r="P14" s="226"/>
      <c r="Q14" s="226"/>
      <c r="R14" s="226"/>
      <c r="S14" s="226"/>
      <c r="T14" s="114"/>
      <c r="U14" s="217" t="str">
        <f>IF(Profil!$H$51="","SEANCE 8",U25-7)</f>
        <v>SEANCE 8</v>
      </c>
      <c r="V14" s="218"/>
      <c r="W14" s="218"/>
      <c r="X14" s="218"/>
      <c r="Y14" s="218"/>
      <c r="Z14" s="114"/>
      <c r="AA14" s="1"/>
    </row>
    <row r="15" spans="1:27" ht="15" customHeight="1" x14ac:dyDescent="0.25">
      <c r="A15" s="1"/>
      <c r="B15" s="75"/>
      <c r="C15" s="76" t="s">
        <v>4</v>
      </c>
      <c r="D15" s="77" t="s">
        <v>5</v>
      </c>
      <c r="E15" s="77" t="s">
        <v>6</v>
      </c>
      <c r="F15" s="77" t="s">
        <v>7</v>
      </c>
      <c r="G15" s="77" t="s">
        <v>8</v>
      </c>
      <c r="H15" s="115"/>
      <c r="I15" s="76" t="s">
        <v>4</v>
      </c>
      <c r="J15" s="77" t="s">
        <v>5</v>
      </c>
      <c r="K15" s="90" t="s">
        <v>6</v>
      </c>
      <c r="L15" s="77" t="s">
        <v>7</v>
      </c>
      <c r="M15" s="77" t="s">
        <v>8</v>
      </c>
      <c r="N15" s="2"/>
      <c r="O15" s="76" t="s">
        <v>4</v>
      </c>
      <c r="P15" s="77" t="s">
        <v>5</v>
      </c>
      <c r="Q15" s="77" t="s">
        <v>6</v>
      </c>
      <c r="R15" s="77" t="s">
        <v>7</v>
      </c>
      <c r="S15" s="77" t="s">
        <v>8</v>
      </c>
      <c r="T15" s="115"/>
      <c r="U15" s="76" t="s">
        <v>4</v>
      </c>
      <c r="V15" s="77" t="s">
        <v>5</v>
      </c>
      <c r="W15" s="77" t="s">
        <v>6</v>
      </c>
      <c r="X15" s="77" t="s">
        <v>7</v>
      </c>
      <c r="Y15" s="77" t="s">
        <v>8</v>
      </c>
      <c r="Z15" s="115"/>
      <c r="AA15" s="1"/>
    </row>
    <row r="16" spans="1:27" ht="15" customHeight="1" x14ac:dyDescent="0.25">
      <c r="A16" s="1"/>
      <c r="B16" s="75"/>
      <c r="C16" s="78" t="s">
        <v>2</v>
      </c>
      <c r="D16" s="64">
        <v>1</v>
      </c>
      <c r="E16" s="64">
        <v>6</v>
      </c>
      <c r="F16" s="74" t="s">
        <v>12</v>
      </c>
      <c r="G16" s="185"/>
      <c r="H16" s="116" t="s">
        <v>10</v>
      </c>
      <c r="I16" s="80" t="str">
        <f>IF(Profil!$B$37="SDT SUMO",IF(Profil!$XFA$43="Fin","Knee Pause Deadlift","Comp Deadlift"),IF(Profil!$XFA$43="Fin","Knee Pause Deadlift",IF(Profil!$XFA$41="Bassin","Low Pause Deadlift",IF(Profil!$XFA$43="Bas","Deficit Deadlift","Comp Deadlift"))))</f>
        <v>Knee Pause Deadlift</v>
      </c>
      <c r="J16" s="64">
        <v>1</v>
      </c>
      <c r="K16" s="64">
        <v>4</v>
      </c>
      <c r="L16" s="64" t="str">
        <f>IF(I5="Low Pause Deadlift",MROUND((0.71*Profil!$F$37),Profil!$F$12)&amp;"kg",IF(I5="Deficit Deadlift",MROUND((0.7*Profil!$F$37),Profil!$F$12)&amp;"kg",IF(Profil!$XFB$45&gt;18,"RPE6",IF(I5="Knee Pause Deadlift",MROUND((0.74*Profil!$F$37),Profil!$F$12)&amp;"kg",MROUND((0.76*Profil!$F$37),Profil!$F$12)&amp;"kg"))))</f>
        <v>0kg</v>
      </c>
      <c r="M16" s="185"/>
      <c r="N16" s="2"/>
      <c r="O16" s="78" t="str">
        <f>IF(Profil!$XFA$19="G","Tempo 2:1:2 Squat",IF(Profil!$XFA$19="GM","Tempo 2:1:0 HB Squat",IF(Profil!$XFA$19="HD","Pause HB Squat",IF(Profil!$XFA$21="Bas","Pause Squat",IF(Profil!$XFA$21="Milieu","Tempo 3:0:0 Squat","Comp Squat")))))</f>
        <v>Comp Squat</v>
      </c>
      <c r="P16" s="64">
        <v>1</v>
      </c>
      <c r="Q16" s="64">
        <v>3</v>
      </c>
      <c r="R16" s="74" t="s">
        <v>9</v>
      </c>
      <c r="S16" s="185"/>
      <c r="T16" s="116" t="s">
        <v>10</v>
      </c>
      <c r="U16" s="79" t="s">
        <v>2</v>
      </c>
      <c r="V16" s="64">
        <v>1</v>
      </c>
      <c r="W16" s="80">
        <f>IF(Profil!$XFB$23&gt;13,3,2)</f>
        <v>3</v>
      </c>
      <c r="X16" s="80" t="str">
        <f>IF(Profil!$XFB$23&gt;13,"RPE8","RPE8")</f>
        <v>RPE8</v>
      </c>
      <c r="Y16" s="184"/>
      <c r="Z16" s="116" t="s">
        <v>10</v>
      </c>
      <c r="AA16" s="1"/>
    </row>
    <row r="17" spans="1:27" ht="15" customHeight="1" x14ac:dyDescent="0.25">
      <c r="A17" s="1"/>
      <c r="B17" s="75"/>
      <c r="C17" s="79"/>
      <c r="D17" s="80">
        <f>IF(Profil!$XFB$23&lt;10,2,3)</f>
        <v>3</v>
      </c>
      <c r="E17" s="64">
        <v>7</v>
      </c>
      <c r="F17" s="66" t="str">
        <f>MROUND((0.7*Profil!$F$15),Profil!$F$12)&amp;"kg"</f>
        <v>0kg</v>
      </c>
      <c r="G17" s="129"/>
      <c r="H17" s="116" t="s">
        <v>11</v>
      </c>
      <c r="I17" s="74" t="str">
        <f>IF(I16="Deficit Deadlift","Snatch Grip RDL",IF(Profil!$B$37="SDT TRADI","Romanian Deadlift",IF(Profil!$XFA$41="Dos","Pause Deadlift",IF(Profil!$XFA$41="Bassin","Tempo 3:0:3 Deadlift",IF(Profil!$XFA$41="Genoux","Tempo 3:0:3 Deadlift",IF(Profil!$XFA$43="Fin","Snatch Grip RDL",""))))))</f>
        <v>Romanian Deadlift</v>
      </c>
      <c r="J17" s="80">
        <f>IF(Profil!$B$37="SDT TRADI",2,IF(Profil!$XFB$45&gt;20,3,2))</f>
        <v>2</v>
      </c>
      <c r="K17" s="74">
        <f>IF($I$6="Romanian Deadlift",9,IF($I$6="Snatch Grip RDL",7,IF(Profil!$XFA$41="Dos",5,IF(Profil!$XFA$41="Bassin",4,IF(Profil!$XFA$41="Genoux",4,IF(Profil!$XFA$43="Fin",7,5))))))</f>
        <v>9</v>
      </c>
      <c r="L17" s="66" t="str">
        <f>IF($I$6="Romanian Deadlift",MROUND((0.42*Profil!$F$37),Profil!$F$12)&amp;"kg",IF($I$6="Snatch Grip RDL",MROUND((0.42*Profil!$F$37),Profil!$F$12)&amp;"kg",IF(Profil!$XFA$41="Dos",MROUND((0.68*Profil!$F$37),Profil!$F$12)&amp;"kg",IF(Profil!$XFA$41="Bassin",MROUND((0.67*Profil!$F$37),Profil!$F$12)&amp;"kg",IF(Profil!$XFA$41="Genoux",MROUND((0.67*Profil!$F$37),Profil!$F$12)&amp;"kg",IF(Profil!$XFA$43="Fin",MROUND((0.415*Profil!$F$37),Profil!$F$12)&amp;"kg",MROUND((0.72*Profil!$F$37),Profil!$F$12)&amp;"kg"))))))</f>
        <v>0kg</v>
      </c>
      <c r="M17" s="125"/>
      <c r="N17" s="2"/>
      <c r="O17" s="78" t="str">
        <f>IF(Profil!$XFA$19="G","(Contrôle genoux)",IF(Profil!$XFA$19="GM","(Reste vertical sur poussée)",IF(Profil!$XFA$19="HD","Frontsquat",IF(Profil!$XFA$21="Bas","(Max de tension en bas)",""))))</f>
        <v/>
      </c>
      <c r="P17" s="80">
        <f>IF(Profil!$XFB$23&lt;20,2,3)</f>
        <v>2</v>
      </c>
      <c r="Q17" s="64" t="str">
        <f>IF(Profil!$XFA$19="HD","8","5")</f>
        <v>5</v>
      </c>
      <c r="R17" s="64" t="str">
        <f>IF(Profil!$XFA$19="HD",MROUND((0.415*Profil!$F$15),Profil!$F$12)&amp;"kg","-13%")</f>
        <v>-13%</v>
      </c>
      <c r="S17" s="129"/>
      <c r="T17" s="116" t="s">
        <v>11</v>
      </c>
      <c r="U17" s="79"/>
      <c r="V17" s="64">
        <v>3</v>
      </c>
      <c r="W17" s="64">
        <v>5</v>
      </c>
      <c r="X17" s="66" t="str">
        <f>MROUND((0.79*Profil!$F$15),Profil!$F$12)&amp;"kg"</f>
        <v>0kg</v>
      </c>
      <c r="Y17" s="131"/>
      <c r="Z17" s="116" t="s">
        <v>11</v>
      </c>
      <c r="AA17" s="1"/>
    </row>
    <row r="18" spans="1:27" ht="15" customHeight="1" x14ac:dyDescent="0.25">
      <c r="A18" s="1"/>
      <c r="B18" s="75"/>
      <c r="C18" s="81" t="s">
        <v>0</v>
      </c>
      <c r="D18" s="82">
        <v>1</v>
      </c>
      <c r="E18" s="82">
        <v>5</v>
      </c>
      <c r="F18" s="83" t="str">
        <f>IF(Profil!$XFB$34&lt;16,"RPE6","RPE7")</f>
        <v>RPE7</v>
      </c>
      <c r="G18" s="179"/>
      <c r="H18" s="116" t="s">
        <v>13</v>
      </c>
      <c r="I18" s="91" t="s">
        <v>0</v>
      </c>
      <c r="J18" s="82">
        <f>J7+1</f>
        <v>5</v>
      </c>
      <c r="K18" s="92">
        <f>K7-1</f>
        <v>5</v>
      </c>
      <c r="L18" s="93" t="str">
        <f>MROUND((0.76*Profil!$F$26),Profil!$F$12)&amp;"kg"</f>
        <v>0kg</v>
      </c>
      <c r="M18" s="126"/>
      <c r="N18" s="2"/>
      <c r="O18" s="106" t="s">
        <v>26</v>
      </c>
      <c r="P18" s="82">
        <v>1</v>
      </c>
      <c r="Q18" s="65">
        <v>1</v>
      </c>
      <c r="R18" s="87" t="str">
        <f>IF(Profil!$XFB$34&lt;12,"RPE6,5",IF(Profil!$XFB$34&lt;17,"RPE7",IF(Profil!$XFB$34&lt;22,"RPE7,5",IF(Profil!$XFB$34&lt;27,"RPE8","RPE8"))))</f>
        <v>RPE7</v>
      </c>
      <c r="S18" s="187"/>
      <c r="T18" s="116" t="s">
        <v>13</v>
      </c>
      <c r="U18" s="86" t="s">
        <v>3</v>
      </c>
      <c r="V18" s="65">
        <v>1</v>
      </c>
      <c r="W18" s="82">
        <f>IF(Profil!$XFB$45&gt;13,2,2)</f>
        <v>2</v>
      </c>
      <c r="X18" s="82" t="str">
        <f>IF(Profil!$XFB$45&gt;13,"RPE7","RPE7")</f>
        <v>RPE7</v>
      </c>
      <c r="Y18" s="183"/>
      <c r="Z18" s="116" t="s">
        <v>13</v>
      </c>
      <c r="AA18" s="1"/>
    </row>
    <row r="19" spans="1:27" ht="15" customHeight="1" x14ac:dyDescent="0.25">
      <c r="A19" s="1"/>
      <c r="B19" s="75"/>
      <c r="C19" s="84"/>
      <c r="D19" s="82">
        <f>IF(Profil!$XFB$34&lt;16,2,3)</f>
        <v>3</v>
      </c>
      <c r="E19" s="82">
        <v>6</v>
      </c>
      <c r="F19" s="85">
        <v>-0.1</v>
      </c>
      <c r="G19" s="127"/>
      <c r="H19" s="116" t="s">
        <v>15</v>
      </c>
      <c r="I19" s="94"/>
      <c r="J19" s="93"/>
      <c r="K19" s="93"/>
      <c r="L19" s="93"/>
      <c r="M19" s="126"/>
      <c r="N19" s="2"/>
      <c r="O19" s="106" t="str">
        <f>IF(Profil!$XFA$30="Pause","",IF(Profil!$XFA$30="Traj","Tempo 4:1:4 Bench","Tshirt Pause Bench"))</f>
        <v>Tshirt Pause Bench</v>
      </c>
      <c r="P19" s="69" t="str">
        <f>IF(Profil!$XFA$30="Pause","4",IF(Profil!$XFA$30="Traj","3","3"))</f>
        <v>3</v>
      </c>
      <c r="Q19" s="69" t="str">
        <f>IF(Profil!$XFA$30="Pause","4",IF(Profil!$XFA$30="Traj","5","8"))</f>
        <v>8</v>
      </c>
      <c r="R19" s="69" t="str">
        <f>IF(Profil!$XFA$30="Pause",MROUND((0.765*Profil!$F$26),Profil!$F$12)&amp;"kg",IF(Profil!$XFA$30="Traj",MROUND((0.62*Profil!$F$26),Profil!$F$12)&amp;"kg",MROUND((0.7*Profil!$F$26),Profil!$F$12)&amp;"kg"))</f>
        <v>0kg</v>
      </c>
      <c r="S19" s="127"/>
      <c r="T19" s="116" t="s">
        <v>15</v>
      </c>
      <c r="U19" s="110"/>
      <c r="V19" s="65">
        <v>3</v>
      </c>
      <c r="W19" s="65">
        <v>4</v>
      </c>
      <c r="X19" s="93" t="str">
        <f>IF(Profil!$B$37="SDT TRADI",MROUND((0.78*Profil!$F$37),Profil!$F$12)&amp;"kg",MROUND((0.79*Profil!$F$37),Profil!$F$12)&amp;"kg")</f>
        <v>0kg</v>
      </c>
      <c r="Y19" s="132"/>
      <c r="Z19" s="116" t="s">
        <v>15</v>
      </c>
      <c r="AA19" s="1"/>
    </row>
    <row r="20" spans="1:27" ht="15" customHeight="1" x14ac:dyDescent="0.25">
      <c r="A20" s="1"/>
      <c r="B20" s="75"/>
      <c r="C20" s="79" t="s">
        <v>1</v>
      </c>
      <c r="D20" s="64">
        <v>3</v>
      </c>
      <c r="E20" s="64">
        <v>10</v>
      </c>
      <c r="F20" s="74" t="s">
        <v>12</v>
      </c>
      <c r="G20" s="128"/>
      <c r="H20" s="116" t="s">
        <v>17</v>
      </c>
      <c r="I20" s="95" t="s">
        <v>65</v>
      </c>
      <c r="J20" s="96">
        <v>3</v>
      </c>
      <c r="K20" s="97" t="s">
        <v>16</v>
      </c>
      <c r="L20" s="96"/>
      <c r="M20" s="126"/>
      <c r="N20" s="2"/>
      <c r="O20" s="78" t="s">
        <v>31</v>
      </c>
      <c r="P20" s="64">
        <v>3</v>
      </c>
      <c r="Q20" s="64">
        <v>10</v>
      </c>
      <c r="R20" s="74" t="s">
        <v>12</v>
      </c>
      <c r="S20" s="128"/>
      <c r="T20" s="116" t="s">
        <v>17</v>
      </c>
      <c r="U20" s="79" t="s">
        <v>0</v>
      </c>
      <c r="V20" s="64">
        <v>1</v>
      </c>
      <c r="W20" s="80">
        <f>IF(Profil!$XFB$34&gt;13,2,3)</f>
        <v>2</v>
      </c>
      <c r="X20" s="80" t="str">
        <f>IF(Profil!$XFB$34&gt;13,"RPE8","RPE8")</f>
        <v>RPE8</v>
      </c>
      <c r="Y20" s="184"/>
      <c r="Z20" s="116" t="s">
        <v>17</v>
      </c>
      <c r="AA20" s="1"/>
    </row>
    <row r="21" spans="1:27" ht="15" customHeight="1" x14ac:dyDescent="0.25">
      <c r="A21" s="208" t="s">
        <v>23</v>
      </c>
      <c r="B21" s="75"/>
      <c r="C21" s="86" t="s">
        <v>67</v>
      </c>
      <c r="D21" s="65">
        <v>3</v>
      </c>
      <c r="E21" s="65">
        <v>9</v>
      </c>
      <c r="F21" s="87" t="s">
        <v>12</v>
      </c>
      <c r="G21" s="128"/>
      <c r="H21" s="115"/>
      <c r="I21" s="98" t="s">
        <v>22</v>
      </c>
      <c r="J21" s="99">
        <v>3</v>
      </c>
      <c r="K21" s="100" t="s">
        <v>16</v>
      </c>
      <c r="L21" s="99"/>
      <c r="M21" s="126"/>
      <c r="N21" s="1"/>
      <c r="O21" s="86" t="str">
        <f>IF(Profil!$XFA$49="Dos","Bird Dog",IF(Profil!$XFA$49="Ep","Reverse KB Press",IF(Profil!$XFA$49="Coud","Extension nuque élastique",IF(Profil!$XFA$49="Poig","Extension poignets",IF(Profil!$XFA$49="Bass","One Leg RDL",IF(Profil!$XFA$49="Genx","Nordic Leg Curl","Flexions de cheville"))))))</f>
        <v>Flexions de cheville</v>
      </c>
      <c r="P21" s="65">
        <v>3</v>
      </c>
      <c r="Q21" s="65"/>
      <c r="R21" s="65"/>
      <c r="S21" s="128"/>
      <c r="T21" s="115"/>
      <c r="U21" s="79"/>
      <c r="V21" s="80">
        <f>IF(Profil!$XFB$34&gt;17,4,3)</f>
        <v>3</v>
      </c>
      <c r="W21" s="64">
        <v>5</v>
      </c>
      <c r="X21" s="66" t="str">
        <f>MROUND((0.79*Profil!$F$26),Profil!$F$12)&amp;"kg"</f>
        <v>0kg</v>
      </c>
      <c r="Y21" s="128"/>
      <c r="Z21" s="115"/>
      <c r="AA21" s="1"/>
    </row>
    <row r="22" spans="1:27" ht="15" customHeight="1" thickBot="1" x14ac:dyDescent="0.3">
      <c r="A22" s="209"/>
      <c r="B22" s="75"/>
      <c r="C22" s="88" t="s">
        <v>19</v>
      </c>
      <c r="D22" s="67">
        <v>3</v>
      </c>
      <c r="E22" s="89" t="s">
        <v>20</v>
      </c>
      <c r="F22" s="67"/>
      <c r="G22" s="128"/>
      <c r="H22" s="117"/>
      <c r="I22" s="101" t="s">
        <v>66</v>
      </c>
      <c r="J22" s="102">
        <v>3</v>
      </c>
      <c r="K22" s="103"/>
      <c r="L22" s="104"/>
      <c r="M22" s="126"/>
      <c r="N22" s="2"/>
      <c r="O22" s="107" t="s">
        <v>21</v>
      </c>
      <c r="P22" s="108">
        <v>3</v>
      </c>
      <c r="Q22" s="109"/>
      <c r="R22" s="108"/>
      <c r="S22" s="128"/>
      <c r="T22" s="117"/>
      <c r="U22" s="70" t="str">
        <f>IF(Profil!$XFA$32="Bas","2ct Low Pin Press",IF(Profil!$XFA$32="Milieu","Larsen Press","Close Grip Bench"))</f>
        <v>Close Grip Bench</v>
      </c>
      <c r="V22" s="67">
        <v>2</v>
      </c>
      <c r="W22" s="71">
        <f>IF(Profil!$XFA$32="Bas",6,8)</f>
        <v>8</v>
      </c>
      <c r="X22" s="67" t="str">
        <f>IF(Profil!$XFA$32="Bas",MROUND((0.67*Profil!$F$26),Profil!$F$12)&amp;"kg",MROUND((0.65*Profil!$F$26),Profil!$F$12)&amp;"kg")</f>
        <v>0kg</v>
      </c>
      <c r="Y22" s="128"/>
      <c r="Z22" s="117"/>
      <c r="AA22" s="1"/>
    </row>
    <row r="23" spans="1:27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 customHeight="1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.75" customHeight="1" x14ac:dyDescent="0.25">
      <c r="A25" s="1"/>
      <c r="B25" s="4"/>
      <c r="C25" s="223" t="str">
        <f>IF(Profil!$H$51="","SEANCE 9",I25-2)</f>
        <v>SEANCE 9</v>
      </c>
      <c r="D25" s="224"/>
      <c r="E25" s="224"/>
      <c r="F25" s="224"/>
      <c r="G25" s="224"/>
      <c r="H25" s="114"/>
      <c r="I25" s="223" t="str">
        <f>IF(Profil!$H$51="","SEANCE 10",O25-1)</f>
        <v>SEANCE 10</v>
      </c>
      <c r="J25" s="224"/>
      <c r="K25" s="224"/>
      <c r="L25" s="224"/>
      <c r="M25" s="224"/>
      <c r="N25" s="27"/>
      <c r="O25" s="225" t="str">
        <f>IF(Profil!$H$51="","SEANCE 11",U25-2)</f>
        <v>SEANCE 11</v>
      </c>
      <c r="P25" s="226"/>
      <c r="Q25" s="226"/>
      <c r="R25" s="226"/>
      <c r="S25" s="226"/>
      <c r="T25" s="114"/>
      <c r="U25" s="217" t="str">
        <f>IF(Profil!$H$51="","SEANCE 12",U36-7)</f>
        <v>SEANCE 12</v>
      </c>
      <c r="V25" s="218"/>
      <c r="W25" s="218"/>
      <c r="X25" s="218"/>
      <c r="Y25" s="218"/>
      <c r="Z25" s="114"/>
      <c r="AA25" s="1"/>
    </row>
    <row r="26" spans="1:27" ht="15" customHeight="1" x14ac:dyDescent="0.25">
      <c r="A26" s="1"/>
      <c r="B26" s="75"/>
      <c r="C26" s="76" t="s">
        <v>4</v>
      </c>
      <c r="D26" s="77" t="s">
        <v>5</v>
      </c>
      <c r="E26" s="77" t="s">
        <v>6</v>
      </c>
      <c r="F26" s="77" t="s">
        <v>7</v>
      </c>
      <c r="G26" s="77" t="s">
        <v>8</v>
      </c>
      <c r="H26" s="115"/>
      <c r="I26" s="76" t="s">
        <v>4</v>
      </c>
      <c r="J26" s="77" t="s">
        <v>5</v>
      </c>
      <c r="K26" s="77" t="s">
        <v>6</v>
      </c>
      <c r="L26" s="77" t="s">
        <v>7</v>
      </c>
      <c r="M26" s="77" t="s">
        <v>8</v>
      </c>
      <c r="N26" s="2"/>
      <c r="O26" s="76" t="s">
        <v>4</v>
      </c>
      <c r="P26" s="77" t="s">
        <v>5</v>
      </c>
      <c r="Q26" s="77" t="s">
        <v>6</v>
      </c>
      <c r="R26" s="77" t="s">
        <v>7</v>
      </c>
      <c r="S26" s="77" t="s">
        <v>8</v>
      </c>
      <c r="T26" s="115"/>
      <c r="U26" s="76" t="s">
        <v>4</v>
      </c>
      <c r="V26" s="77" t="s">
        <v>5</v>
      </c>
      <c r="W26" s="77" t="s">
        <v>6</v>
      </c>
      <c r="X26" s="77" t="s">
        <v>7</v>
      </c>
      <c r="Y26" s="77" t="s">
        <v>8</v>
      </c>
      <c r="Z26" s="115"/>
      <c r="AA26" s="1"/>
    </row>
    <row r="27" spans="1:27" ht="15" customHeight="1" x14ac:dyDescent="0.25">
      <c r="A27" s="1"/>
      <c r="B27" s="75"/>
      <c r="C27" s="78" t="s">
        <v>2</v>
      </c>
      <c r="D27" s="64">
        <v>1</v>
      </c>
      <c r="E27" s="64">
        <v>5</v>
      </c>
      <c r="F27" s="74" t="s">
        <v>12</v>
      </c>
      <c r="G27" s="185"/>
      <c r="H27" s="116" t="s">
        <v>10</v>
      </c>
      <c r="I27" s="80" t="str">
        <f>IF(Profil!$B$37="SDT SUMO",IF(Profil!$XFA$43="Fin","Knee Pause Deadlift","Comp Deadlift"),IF(Profil!$XFA$43="Fin","Knee Pause Deadlift",IF(Profil!$XFA$41="Bassin","Low Pause Deadlift",IF(Profil!$XFA$43="Bas","Deficit Deadlift","Comp Deadlift"))))</f>
        <v>Knee Pause Deadlift</v>
      </c>
      <c r="J27" s="64">
        <v>1</v>
      </c>
      <c r="K27" s="64">
        <v>3</v>
      </c>
      <c r="L27" s="64" t="str">
        <f>IF(I5="Low Pause Deadlift",MROUND((0.73*Profil!$F$37),Profil!$F$12)&amp;"kg",IF(I5="Deficit Deadlift",MROUND((0.72*Profil!$F$37),Profil!$F$12)&amp;"kg",IF(Profil!$XFB$45&gt;18,"RPE6",IF(I5="Knee Pause Deadlift",MROUND((0.76*Profil!$F$37),Profil!$F$12)&amp;"kg",MROUND((0.78*Profil!$F$37),Profil!$F$12)&amp;"kg"))))</f>
        <v>0kg</v>
      </c>
      <c r="M27" s="185"/>
      <c r="N27" s="2"/>
      <c r="O27" s="78" t="str">
        <f>IF(Profil!$XFA$19="G","Tempo 2:1:2 Squat",IF(Profil!$XFA$19="GM","Tempo 2:1:0 HB Squat",IF(Profil!$XFA$19="HD","Pause HB Squat",IF(Profil!$XFA$21="Bas","Pause Squat",IF(Profil!$XFA$21="Milieu","Tempo 3:0:0 Squat","Comp Squat")))))</f>
        <v>Comp Squat</v>
      </c>
      <c r="P27" s="64">
        <v>1</v>
      </c>
      <c r="Q27" s="64">
        <v>2</v>
      </c>
      <c r="R27" s="74" t="s">
        <v>9</v>
      </c>
      <c r="S27" s="185"/>
      <c r="T27" s="116" t="s">
        <v>10</v>
      </c>
      <c r="U27" s="79" t="s">
        <v>2</v>
      </c>
      <c r="V27" s="64">
        <v>1</v>
      </c>
      <c r="W27" s="80">
        <f>IF(Profil!$XFB$23&gt;13,2,1)</f>
        <v>2</v>
      </c>
      <c r="X27" s="80" t="str">
        <f>IF(Profil!$XFB$23&gt;13,"RPE7","RPE6")</f>
        <v>RPE7</v>
      </c>
      <c r="Y27" s="184"/>
      <c r="Z27" s="116" t="s">
        <v>10</v>
      </c>
      <c r="AA27" s="1"/>
    </row>
    <row r="28" spans="1:27" ht="15" customHeight="1" x14ac:dyDescent="0.25">
      <c r="A28" s="1"/>
      <c r="B28" s="75"/>
      <c r="C28" s="79"/>
      <c r="D28" s="80">
        <f>IF(Profil!$XFB$23&lt;10,2,3)</f>
        <v>3</v>
      </c>
      <c r="E28" s="64">
        <v>6</v>
      </c>
      <c r="F28" s="66" t="str">
        <f>MROUND((0.72*Profil!$F$15),Profil!$F$12)&amp;"kg"</f>
        <v>0kg</v>
      </c>
      <c r="G28" s="129"/>
      <c r="H28" s="116" t="s">
        <v>11</v>
      </c>
      <c r="I28" s="74" t="str">
        <f>IF(I27="Deficit Deadlift","Snatch Grip RDL",IF(Profil!$B$37="SDT TRADI","Romanian Deadlift",IF(Profil!$XFA$41="Dos","Pause Deadlift",IF(Profil!$XFA$41="Bassin","Tempo 3:0:3 Deadlift",IF(Profil!$XFA$41="Genoux","Tempo 3:0:3 Deadlift",IF(Profil!$XFA$43="Fin","Snatch Grip RDL",""))))))</f>
        <v>Romanian Deadlift</v>
      </c>
      <c r="J28" s="80">
        <f>IF(Profil!$B$37="SDT TRADI",2,IF(Profil!$XFB$45&gt;20,3,2))</f>
        <v>2</v>
      </c>
      <c r="K28" s="74">
        <f>IF($I$6="Romanian Deadlift",9,IF($I$6="Snatch Grip RDL",7,IF(Profil!$XFA$41="Dos",5,IF(Profil!$XFA$41="Bassin",4,IF(Profil!$XFA$41="Genoux",4,IF(Profil!$XFA$43="Fin",7,5))))))</f>
        <v>9</v>
      </c>
      <c r="L28" s="66" t="str">
        <f>IF($I$6="Romanian Deadlift",MROUND((0.44*Profil!$F$37),Profil!$F$12)&amp;"kg",IF($I$6="Snatch Grip RDL",MROUND((0.44*Profil!$F$37),Profil!$F$12)&amp;"kg",IF(Profil!$XFA$41="Dos",MROUND((0.7*Profil!$F$37),Profil!$F$12)&amp;"kg",IF(Profil!$XFA$41="Bassin",MROUND((0.69*Profil!$F$37),Profil!$F$12)&amp;"kg",IF(Profil!$XFA$41="Genoux",MROUND((0.69*Profil!$F$37),Profil!$F$12)&amp;"kg",IF(Profil!$XFA$43="Fin",MROUND((0.43*Profil!$F$37),Profil!$F$12)&amp;"kg",MROUND((0.74*Profil!$F$37),Profil!$F$12)&amp;"kg"))))))</f>
        <v>0kg</v>
      </c>
      <c r="M28" s="125"/>
      <c r="N28" s="2"/>
      <c r="O28" s="78" t="str">
        <f>IF(Profil!$XFA$19="G","(Contrôle genoux)",IF(Profil!$XFA$19="GM","(Reste vertical sur poussée)",IF(Profil!$XFA$19="HD","Frontsquat",IF(Profil!$XFA$21="Bas","(Max de tension en bas)",""))))</f>
        <v/>
      </c>
      <c r="P28" s="80">
        <f>IF(Profil!$XFB$23&lt;20,2,3)</f>
        <v>2</v>
      </c>
      <c r="Q28" s="64" t="str">
        <f>IF(Profil!$XFA$19="HD","7","4")</f>
        <v>4</v>
      </c>
      <c r="R28" s="64" t="str">
        <f>IF(Profil!$XFA$19="HD",MROUND((0.43*Profil!$F$15),Profil!$F$12)&amp;"kg","-12%")</f>
        <v>-12%</v>
      </c>
      <c r="S28" s="129"/>
      <c r="T28" s="116" t="s">
        <v>11</v>
      </c>
      <c r="U28" s="79"/>
      <c r="V28" s="64">
        <v>3</v>
      </c>
      <c r="W28" s="64">
        <v>4</v>
      </c>
      <c r="X28" s="66" t="str">
        <f>MROUND((0.81*Profil!$F$15),Profil!$F$12)&amp;"kg"</f>
        <v>0kg</v>
      </c>
      <c r="Y28" s="131"/>
      <c r="Z28" s="116" t="s">
        <v>11</v>
      </c>
      <c r="AA28" s="1"/>
    </row>
    <row r="29" spans="1:27" ht="15" customHeight="1" x14ac:dyDescent="0.25">
      <c r="A29" s="1"/>
      <c r="B29" s="75"/>
      <c r="C29" s="81" t="s">
        <v>0</v>
      </c>
      <c r="D29" s="82">
        <v>1</v>
      </c>
      <c r="E29" s="82">
        <v>5</v>
      </c>
      <c r="F29" s="83" t="str">
        <f>IF(Profil!$XFB$34&lt;16,"RPE7","RPE8")</f>
        <v>RPE8</v>
      </c>
      <c r="G29" s="179"/>
      <c r="H29" s="116" t="s">
        <v>13</v>
      </c>
      <c r="I29" s="91" t="s">
        <v>0</v>
      </c>
      <c r="J29" s="82">
        <f>J18+1</f>
        <v>6</v>
      </c>
      <c r="K29" s="92">
        <f>K18-1</f>
        <v>4</v>
      </c>
      <c r="L29" s="93" t="str">
        <f>MROUND((0.78*Profil!$F$26),Profil!$F$12)&amp;"kg"</f>
        <v>0kg</v>
      </c>
      <c r="M29" s="126"/>
      <c r="N29" s="2"/>
      <c r="O29" s="106" t="s">
        <v>26</v>
      </c>
      <c r="P29" s="82">
        <v>1</v>
      </c>
      <c r="Q29" s="65">
        <v>1</v>
      </c>
      <c r="R29" s="87" t="str">
        <f>IF(Profil!$XFB$34&lt;12,"RPE7",IF(Profil!$XFB$34&lt;17,"RPE7,5",IF(Profil!$XFB$34&lt;22,"RPE8",IF(Profil!$XFB$34&lt;27,"RPE8,5","RPE9"))))</f>
        <v>RPE7,5</v>
      </c>
      <c r="S29" s="187"/>
      <c r="T29" s="116" t="s">
        <v>13</v>
      </c>
      <c r="U29" s="86" t="s">
        <v>3</v>
      </c>
      <c r="V29" s="65">
        <v>1</v>
      </c>
      <c r="W29" s="82">
        <f>IF(Profil!$XFB$45&gt;13,2,1)</f>
        <v>2</v>
      </c>
      <c r="X29" s="82" t="str">
        <f>IF(Profil!$XFB$45&gt;13,"RPE8","RPE6")</f>
        <v>RPE8</v>
      </c>
      <c r="Y29" s="183"/>
      <c r="Z29" s="116" t="s">
        <v>13</v>
      </c>
      <c r="AA29" s="1"/>
    </row>
    <row r="30" spans="1:27" ht="15" customHeight="1" x14ac:dyDescent="0.25">
      <c r="A30" s="1"/>
      <c r="B30" s="75"/>
      <c r="C30" s="84"/>
      <c r="D30" s="82">
        <f>IF(Profil!$XFB$34&lt;16,2,3)</f>
        <v>3</v>
      </c>
      <c r="E30" s="82">
        <v>5</v>
      </c>
      <c r="F30" s="85">
        <v>-0.1</v>
      </c>
      <c r="G30" s="127"/>
      <c r="H30" s="116" t="s">
        <v>15</v>
      </c>
      <c r="I30" s="94"/>
      <c r="J30" s="93"/>
      <c r="K30" s="93"/>
      <c r="L30" s="93"/>
      <c r="M30" s="126"/>
      <c r="N30" s="2"/>
      <c r="O30" s="106" t="str">
        <f>IF(Profil!$XFA$30="Pause","",IF(Profil!$XFA$30="Traj","Tempo 4:1:4 Bench","Tshirt Pause Bench"))</f>
        <v>Tshirt Pause Bench</v>
      </c>
      <c r="P30" s="69" t="str">
        <f>IF(Profil!$XFA$30="Pause","4",IF(Profil!$XFA$30="Traj","3","3"))</f>
        <v>3</v>
      </c>
      <c r="Q30" s="69" t="str">
        <f>IF(Profil!$XFA$30="Pause","3",IF(Profil!$XFA$30="Traj","5","7"))</f>
        <v>7</v>
      </c>
      <c r="R30" s="69" t="str">
        <f>IF(Profil!$XFA$30="Pause",MROUND((0.785*Profil!$F$26),Profil!$F$12)&amp;"kg",IF(Profil!$XFA$30="Traj",MROUND((0.64*Profil!$F$26),Profil!$F$12)&amp;"kg",MROUND((0.72*Profil!$F$26),Profil!$F$12)&amp;"kg"))</f>
        <v>0kg</v>
      </c>
      <c r="S30" s="127"/>
      <c r="T30" s="116" t="s">
        <v>15</v>
      </c>
      <c r="U30" s="110"/>
      <c r="V30" s="65">
        <v>3</v>
      </c>
      <c r="W30" s="65">
        <v>3</v>
      </c>
      <c r="X30" s="93" t="str">
        <f>IF(Profil!$B$37="SDT TRADI",MROUND((0.8*Profil!$F$37),Profil!$F$12)&amp;"kg",MROUND((0.81*Profil!$F$37),Profil!$F$12)&amp;"kg")</f>
        <v>0kg</v>
      </c>
      <c r="Y30" s="132"/>
      <c r="Z30" s="116" t="s">
        <v>15</v>
      </c>
      <c r="AA30" s="1"/>
    </row>
    <row r="31" spans="1:27" ht="15" customHeight="1" x14ac:dyDescent="0.25">
      <c r="A31" s="1"/>
      <c r="B31" s="75"/>
      <c r="C31" s="79" t="s">
        <v>1</v>
      </c>
      <c r="D31" s="64">
        <v>3</v>
      </c>
      <c r="E31" s="64">
        <v>10</v>
      </c>
      <c r="F31" s="74" t="s">
        <v>12</v>
      </c>
      <c r="G31" s="128"/>
      <c r="H31" s="116" t="s">
        <v>17</v>
      </c>
      <c r="I31" s="95" t="s">
        <v>65</v>
      </c>
      <c r="J31" s="96">
        <v>3</v>
      </c>
      <c r="K31" s="97" t="s">
        <v>16</v>
      </c>
      <c r="L31" s="96"/>
      <c r="M31" s="126"/>
      <c r="N31" s="2"/>
      <c r="O31" s="78" t="s">
        <v>31</v>
      </c>
      <c r="P31" s="64">
        <v>3</v>
      </c>
      <c r="Q31" s="64">
        <v>10</v>
      </c>
      <c r="R31" s="74" t="s">
        <v>12</v>
      </c>
      <c r="S31" s="128"/>
      <c r="T31" s="116" t="s">
        <v>17</v>
      </c>
      <c r="U31" s="79" t="s">
        <v>0</v>
      </c>
      <c r="V31" s="64">
        <v>1</v>
      </c>
      <c r="W31" s="80">
        <f>IF(Profil!$XFB$34&gt;13,2,2)</f>
        <v>2</v>
      </c>
      <c r="X31" s="80" t="str">
        <f>IF(Profil!$XFB$34&gt;13,"RPE9","RPE7")</f>
        <v>RPE9</v>
      </c>
      <c r="Y31" s="184"/>
      <c r="Z31" s="116" t="s">
        <v>17</v>
      </c>
      <c r="AA31" s="1"/>
    </row>
    <row r="32" spans="1:27" ht="15" customHeight="1" x14ac:dyDescent="0.25">
      <c r="A32" s="208" t="s">
        <v>24</v>
      </c>
      <c r="B32" s="75"/>
      <c r="C32" s="86" t="s">
        <v>67</v>
      </c>
      <c r="D32" s="65">
        <v>3</v>
      </c>
      <c r="E32" s="65">
        <v>8</v>
      </c>
      <c r="F32" s="87" t="s">
        <v>12</v>
      </c>
      <c r="G32" s="128"/>
      <c r="H32" s="115"/>
      <c r="I32" s="98" t="s">
        <v>22</v>
      </c>
      <c r="J32" s="99">
        <v>3</v>
      </c>
      <c r="K32" s="100" t="s">
        <v>16</v>
      </c>
      <c r="L32" s="99"/>
      <c r="M32" s="126"/>
      <c r="N32" s="1"/>
      <c r="O32" s="86" t="str">
        <f>IF(Profil!$XFA$49="Dos","Bird Dog",IF(Profil!$XFA$49="Ep","Reverse KB Press",IF(Profil!$XFA$49="Coud","Extension nuque élastique",IF(Profil!$XFA$49="Poig","Extension poignets",IF(Profil!$XFA$49="Bass","One Leg RDL",IF(Profil!$XFA$49="Genx","Nordic Leg Curl","Flexions de cheville"))))))</f>
        <v>Flexions de cheville</v>
      </c>
      <c r="P32" s="65">
        <v>3</v>
      </c>
      <c r="Q32" s="65"/>
      <c r="R32" s="65"/>
      <c r="S32" s="128"/>
      <c r="T32" s="115"/>
      <c r="U32" s="79"/>
      <c r="V32" s="80">
        <f>IF(Profil!$XFB$34&gt;17,4,3)</f>
        <v>3</v>
      </c>
      <c r="W32" s="64">
        <v>4</v>
      </c>
      <c r="X32" s="66" t="str">
        <f>MROUND((0.81*Profil!$F$26),Profil!$F$12)&amp;"kg"</f>
        <v>0kg</v>
      </c>
      <c r="Y32" s="128"/>
      <c r="Z32" s="115"/>
      <c r="AA32" s="1"/>
    </row>
    <row r="33" spans="1:27" ht="15" customHeight="1" thickBot="1" x14ac:dyDescent="0.3">
      <c r="A33" s="209"/>
      <c r="B33" s="75"/>
      <c r="C33" s="88" t="s">
        <v>19</v>
      </c>
      <c r="D33" s="67">
        <v>3</v>
      </c>
      <c r="E33" s="89" t="s">
        <v>20</v>
      </c>
      <c r="F33" s="67"/>
      <c r="G33" s="128"/>
      <c r="H33" s="117"/>
      <c r="I33" s="101" t="s">
        <v>66</v>
      </c>
      <c r="J33" s="102">
        <v>3</v>
      </c>
      <c r="K33" s="103"/>
      <c r="L33" s="104"/>
      <c r="M33" s="126"/>
      <c r="N33" s="2"/>
      <c r="O33" s="107" t="s">
        <v>21</v>
      </c>
      <c r="P33" s="108">
        <v>3</v>
      </c>
      <c r="Q33" s="109"/>
      <c r="R33" s="108"/>
      <c r="S33" s="128"/>
      <c r="T33" s="117"/>
      <c r="U33" s="70" t="str">
        <f>IF(Profil!$XFA$32="Bas","2ct Low Pin Press",IF(Profil!$XFA$32="Milieu","Larsen Press","Close Grip Bench"))</f>
        <v>Close Grip Bench</v>
      </c>
      <c r="V33" s="67">
        <v>2</v>
      </c>
      <c r="W33" s="71">
        <f>IF(Profil!$XFA$32="Bas",5,7)</f>
        <v>7</v>
      </c>
      <c r="X33" s="67" t="str">
        <f>IF(Profil!$XFA$32="Bas",MROUND((0.69*Profil!$F$26),Profil!$F$12)&amp;"kg",MROUND((0.67*Profil!$F$26),Profil!$F$12)&amp;"kg")</f>
        <v>0kg</v>
      </c>
      <c r="Y33" s="128"/>
      <c r="Z33" s="117"/>
      <c r="AA33" s="1"/>
    </row>
    <row r="34" spans="1:2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 customHeight="1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.75" customHeight="1" x14ac:dyDescent="0.25">
      <c r="A36" s="1"/>
      <c r="B36" s="4"/>
      <c r="C36" s="223" t="str">
        <f>IF(Profil!$H$51="","SEANCE 13",I36-2)</f>
        <v>SEANCE 13</v>
      </c>
      <c r="D36" s="224"/>
      <c r="E36" s="224"/>
      <c r="F36" s="224"/>
      <c r="G36" s="224"/>
      <c r="H36" s="114"/>
      <c r="I36" s="223" t="str">
        <f>IF(Profil!$H$51="","SEANCE 14",O36-1)</f>
        <v>SEANCE 14</v>
      </c>
      <c r="J36" s="224"/>
      <c r="K36" s="224"/>
      <c r="L36" s="224"/>
      <c r="M36" s="224"/>
      <c r="N36" s="27"/>
      <c r="O36" s="225" t="str">
        <f>IF(Profil!$H$51="","SEANCE 15",U36-2)</f>
        <v>SEANCE 15</v>
      </c>
      <c r="P36" s="226"/>
      <c r="Q36" s="226"/>
      <c r="R36" s="226"/>
      <c r="S36" s="226"/>
      <c r="T36" s="114"/>
      <c r="U36" s="217" t="str">
        <f>IF(Profil!$H$51="","SEANCE 16",'Block 2'!$U$3:$Y$3-7)</f>
        <v>SEANCE 16</v>
      </c>
      <c r="V36" s="218"/>
      <c r="W36" s="218"/>
      <c r="X36" s="218"/>
      <c r="Y36" s="218"/>
      <c r="Z36" s="114"/>
      <c r="AA36" s="1"/>
    </row>
    <row r="37" spans="1:27" ht="15" customHeight="1" x14ac:dyDescent="0.25">
      <c r="A37" s="1"/>
      <c r="B37" s="75"/>
      <c r="C37" s="76" t="s">
        <v>4</v>
      </c>
      <c r="D37" s="77" t="s">
        <v>5</v>
      </c>
      <c r="E37" s="77" t="s">
        <v>6</v>
      </c>
      <c r="F37" s="77" t="s">
        <v>7</v>
      </c>
      <c r="G37" s="77" t="s">
        <v>8</v>
      </c>
      <c r="H37" s="115"/>
      <c r="I37" s="76" t="s">
        <v>4</v>
      </c>
      <c r="J37" s="77" t="s">
        <v>5</v>
      </c>
      <c r="K37" s="77" t="s">
        <v>6</v>
      </c>
      <c r="L37" s="77" t="s">
        <v>7</v>
      </c>
      <c r="M37" s="77" t="s">
        <v>8</v>
      </c>
      <c r="N37" s="2"/>
      <c r="O37" s="76" t="s">
        <v>4</v>
      </c>
      <c r="P37" s="77" t="s">
        <v>5</v>
      </c>
      <c r="Q37" s="77" t="s">
        <v>6</v>
      </c>
      <c r="R37" s="77" t="s">
        <v>7</v>
      </c>
      <c r="S37" s="77" t="s">
        <v>8</v>
      </c>
      <c r="T37" s="115"/>
      <c r="U37" s="76" t="s">
        <v>4</v>
      </c>
      <c r="V37" s="77" t="s">
        <v>5</v>
      </c>
      <c r="W37" s="77" t="s">
        <v>6</v>
      </c>
      <c r="X37" s="77" t="s">
        <v>7</v>
      </c>
      <c r="Y37" s="77" t="s">
        <v>8</v>
      </c>
      <c r="Z37" s="115"/>
      <c r="AA37" s="1"/>
    </row>
    <row r="38" spans="1:27" ht="15" customHeight="1" x14ac:dyDescent="0.25">
      <c r="A38" s="1"/>
      <c r="B38" s="75"/>
      <c r="C38" s="78" t="s">
        <v>2</v>
      </c>
      <c r="D38" s="64">
        <v>1</v>
      </c>
      <c r="E38" s="64">
        <v>4</v>
      </c>
      <c r="F38" s="80" t="str">
        <f>IF(Profil!$XFB$23&lt;14,"RPE6","RPE7")</f>
        <v>RPE7</v>
      </c>
      <c r="G38" s="185"/>
      <c r="H38" s="116" t="s">
        <v>10</v>
      </c>
      <c r="I38" s="80" t="str">
        <f>IF(Profil!$B$37="SDT SUMO",IF(Profil!$XFA$43="Fin","Knee Pause Deadlift","Comp Deadlift"),IF(Profil!$XFA$43="Fin","Knee Pause Deadlift",IF(Profil!$XFA$41="Bassin","Low Pause Deadlift",IF(Profil!$XFA$43="Bas","Deficit Deadlift","Comp Deadlift"))))</f>
        <v>Knee Pause Deadlift</v>
      </c>
      <c r="J38" s="64">
        <v>1</v>
      </c>
      <c r="K38" s="80" t="str">
        <f>IF(Profil!$XFB$45&lt;12,"-","2")</f>
        <v>2</v>
      </c>
      <c r="L38" s="80" t="str">
        <f>IF(I5="Low Pause Deadlift",MROUND((0.75*Profil!$F$37),Profil!$F$12)&amp;"kg",IF(I5="Deficit Deadlift",MROUND((0.74*Profil!$F$37),Profil!$F$12)&amp;"kg",IF(Profil!$XFB$45&lt;12,"-",IF(Profil!$XFB$45&gt;20,"RPE6",IF(I5="Knee Pause Deadlift",MROUND((0.78*Profil!$F$37),Profil!$F$12)&amp;"kg",MROUND((0.8*Profil!$F$37),Profil!$F$12)&amp;"kg")))))</f>
        <v>0kg</v>
      </c>
      <c r="M38" s="185"/>
      <c r="N38" s="2"/>
      <c r="O38" s="78" t="str">
        <f>IF(Profil!$XFA$19="G","Tempo 2:1:2 Squat",IF(Profil!$XFA$19="GM","Tempo 2:1:0 HB Squat",IF(Profil!$XFA$19="HD","Pause HB Squat",IF(Profil!$XFA$21="Bas","Pause Squat",IF(Profil!$XFA$21="Milieu","Tempo 3:0:0 Squat","Comp Squat")))))</f>
        <v>Comp Squat</v>
      </c>
      <c r="P38" s="64">
        <v>1</v>
      </c>
      <c r="Q38" s="64">
        <v>2</v>
      </c>
      <c r="R38" s="74" t="s">
        <v>9</v>
      </c>
      <c r="S38" s="185"/>
      <c r="T38" s="116" t="s">
        <v>10</v>
      </c>
      <c r="U38" s="79" t="s">
        <v>2</v>
      </c>
      <c r="V38" s="64">
        <v>1</v>
      </c>
      <c r="W38" s="80">
        <f>IF(Profil!$XFB$23&gt;13,2,1)</f>
        <v>2</v>
      </c>
      <c r="X38" s="80" t="str">
        <f>IF(Profil!$XFB$23&gt;13,"RPE8","RPE7")</f>
        <v>RPE8</v>
      </c>
      <c r="Y38" s="184"/>
      <c r="Z38" s="116" t="s">
        <v>10</v>
      </c>
      <c r="AA38" s="1"/>
    </row>
    <row r="39" spans="1:27" ht="15" customHeight="1" x14ac:dyDescent="0.25">
      <c r="A39" s="1"/>
      <c r="B39" s="75"/>
      <c r="C39" s="79"/>
      <c r="D39" s="80">
        <f>IF(Profil!$XFB$23&lt;10,2,3)</f>
        <v>3</v>
      </c>
      <c r="E39" s="64">
        <v>5</v>
      </c>
      <c r="F39" s="66" t="str">
        <f>MROUND((0.74*Profil!$F$15),Profil!$F$12)&amp;"kg"</f>
        <v>0kg</v>
      </c>
      <c r="G39" s="129"/>
      <c r="H39" s="116" t="s">
        <v>11</v>
      </c>
      <c r="I39" s="74" t="str">
        <f>IF(I38="Deficit Deadlift","Snatch Grip RDL",IF(Profil!$B$37="SDT TRADI","Romanian Deadlift",IF(Profil!$XFA$41="Dos","Pause Deadlift",IF(Profil!$XFA$41="Bassin","Tempo 3:0:3 Deadlift",IF(Profil!$XFA$41="Genoux","Tempo 3:0:3 Deadlift",IF(Profil!$XFA$43="Fin","Snatch Grip RDL",""))))))</f>
        <v>Romanian Deadlift</v>
      </c>
      <c r="J39" s="80">
        <f>IF(Profil!$B$37="SDT TRADI",2,IF(Profil!$XFB$45&gt;20,3,2))</f>
        <v>2</v>
      </c>
      <c r="K39" s="74">
        <f>IF($I$6="Romanian Deadlift",8,IF($I$6="Snatch Grip RDL",6,IF(Profil!$XFA$41="Dos",4,IF(Profil!$XFA$41="Bassin",3,IF(Profil!$XFA$41="Genoux",3,IF(Profil!$XFA$43="Fin",6,4))))))</f>
        <v>8</v>
      </c>
      <c r="L39" s="66" t="str">
        <f>IF($I$6="Romanian Deadlift",MROUND((0.45*Profil!$F$37),Profil!$F$12)&amp;"kg",IF($I$6="Snatch Grip RDL",MROUND((0.45*Profil!$F$37),Profil!$F$12)&amp;"kg",IF(Profil!$XFA$41="Dos",MROUND((0.72*Profil!$F$37),Profil!$F$12)&amp;"kg",IF(Profil!$XFA$41="Bassin",MROUND((0.71*Profil!$F$37),Profil!$F$12)&amp;"kg",IF(Profil!$XFA$41="Genoux",MROUND((0.71*Profil!$F$37),Profil!$F$12)&amp;"kg",IF(Profil!$XFA$43="Fin",MROUND((0.445*Profil!$F$37),Profil!$F$12)&amp;"kg",MROUND((0.76*Profil!$F$37),Profil!$F$12)&amp;"kg"))))))</f>
        <v>0kg</v>
      </c>
      <c r="M39" s="125"/>
      <c r="N39" s="2"/>
      <c r="O39" s="78" t="str">
        <f>IF(Profil!$XFA$19="G","(Contrôle genoux)",IF(Profil!$XFA$19="GM","(Reste vertical sur poussée)",IF(Profil!$XFA$19="HD","Frontsquat",IF(Profil!$XFA$21="Bas","(Max de tension en bas)",""))))</f>
        <v/>
      </c>
      <c r="P39" s="80">
        <f>IF(Profil!$XFB$23&lt;20,2,3)</f>
        <v>2</v>
      </c>
      <c r="Q39" s="64" t="str">
        <f>IF(Profil!$XFA$19="HD","7","4")</f>
        <v>4</v>
      </c>
      <c r="R39" s="64" t="str">
        <f>IF(Profil!$XFA$19="HD",MROUND((0.445*Profil!$F$15),Profil!$F$12)&amp;"kg","-14%")</f>
        <v>-14%</v>
      </c>
      <c r="S39" s="129"/>
      <c r="T39" s="116" t="s">
        <v>11</v>
      </c>
      <c r="U39" s="79"/>
      <c r="V39" s="64">
        <v>3</v>
      </c>
      <c r="W39" s="64">
        <v>4</v>
      </c>
      <c r="X39" s="66" t="str">
        <f>MROUND((0.83*Profil!$F$15),Profil!$F$12)&amp;"kg"</f>
        <v>0kg</v>
      </c>
      <c r="Y39" s="131"/>
      <c r="Z39" s="116" t="s">
        <v>11</v>
      </c>
      <c r="AA39" s="1"/>
    </row>
    <row r="40" spans="1:27" ht="15" customHeight="1" x14ac:dyDescent="0.25">
      <c r="A40" s="1"/>
      <c r="B40" s="75"/>
      <c r="C40" s="81" t="s">
        <v>0</v>
      </c>
      <c r="D40" s="82">
        <v>1</v>
      </c>
      <c r="E40" s="82">
        <v>4</v>
      </c>
      <c r="F40" s="83" t="str">
        <f>IF(Profil!$XFB$34&lt;16,"RPE6","RPE7")</f>
        <v>RPE7</v>
      </c>
      <c r="G40" s="179"/>
      <c r="H40" s="116" t="s">
        <v>13</v>
      </c>
      <c r="I40" s="91" t="s">
        <v>0</v>
      </c>
      <c r="J40" s="82">
        <f>J29+1</f>
        <v>7</v>
      </c>
      <c r="K40" s="92">
        <f>K29-1</f>
        <v>3</v>
      </c>
      <c r="L40" s="93" t="str">
        <f>MROUND((0.8*Profil!$F$26),Profil!$F$12)&amp;"kg"</f>
        <v>0kg</v>
      </c>
      <c r="M40" s="126"/>
      <c r="N40" s="2"/>
      <c r="O40" s="106" t="s">
        <v>26</v>
      </c>
      <c r="P40" s="82">
        <v>1</v>
      </c>
      <c r="Q40" s="65">
        <v>1</v>
      </c>
      <c r="R40" s="87" t="str">
        <f>IF(Profil!$XFB$34&lt;12,"RPE6",IF(Profil!$XFB$34&lt;17,"RPE6,5",IF(Profil!$XFB$34&lt;22,"RPE7",IF(Profil!$XFB$34&lt;27,"RPE7,5","RPE8"))))</f>
        <v>RPE6,5</v>
      </c>
      <c r="S40" s="187"/>
      <c r="T40" s="116" t="s">
        <v>13</v>
      </c>
      <c r="U40" s="86" t="s">
        <v>3</v>
      </c>
      <c r="V40" s="65">
        <v>1</v>
      </c>
      <c r="W40" s="82">
        <f>IF(Profil!$XFB$45&gt;13,1,1)</f>
        <v>1</v>
      </c>
      <c r="X40" s="82" t="str">
        <f>IF(Profil!$XFB$45&gt;13,"RPE6","RPE7")</f>
        <v>RPE6</v>
      </c>
      <c r="Y40" s="183"/>
      <c r="Z40" s="116" t="s">
        <v>13</v>
      </c>
      <c r="AA40" s="1"/>
    </row>
    <row r="41" spans="1:27" ht="15" customHeight="1" x14ac:dyDescent="0.25">
      <c r="A41" s="1"/>
      <c r="B41" s="75"/>
      <c r="C41" s="84"/>
      <c r="D41" s="82">
        <f>IF(Profil!$XFB$34&lt;16,2,3)</f>
        <v>3</v>
      </c>
      <c r="E41" s="82">
        <v>5</v>
      </c>
      <c r="F41" s="85">
        <v>-0.1</v>
      </c>
      <c r="G41" s="127"/>
      <c r="H41" s="116" t="s">
        <v>15</v>
      </c>
      <c r="I41" s="94"/>
      <c r="J41" s="93"/>
      <c r="K41" s="93"/>
      <c r="L41" s="93"/>
      <c r="M41" s="126"/>
      <c r="N41" s="2"/>
      <c r="O41" s="106" t="str">
        <f>IF(Profil!$XFA$30="Pause","",IF(Profil!$XFA$30="Traj","Tempo 4:1:4 Bench","Tshirt Pause Bench"))</f>
        <v>Tshirt Pause Bench</v>
      </c>
      <c r="P41" s="69" t="str">
        <f>IF(Profil!$XFA$30="Pause","4",IF(Profil!$XFA$30="Traj","3","3"))</f>
        <v>3</v>
      </c>
      <c r="Q41" s="69" t="str">
        <f>IF(Profil!$XFA$30="Pause","3",IF(Profil!$XFA$30="Traj","5","7"))</f>
        <v>7</v>
      </c>
      <c r="R41" s="69" t="str">
        <f>IF(Profil!$XFA$30="Pause",MROUND((0.805*Profil!$F$26),Profil!$F$12)&amp;"kg",IF(Profil!$XFA$30="Traj",MROUND((0.66*Profil!$F$26),Profil!$F$12)&amp;"kg",MROUND((0.74*Profil!$F$26),Profil!$F$12)&amp;"kg"))</f>
        <v>0kg</v>
      </c>
      <c r="S41" s="127"/>
      <c r="T41" s="116" t="s">
        <v>15</v>
      </c>
      <c r="U41" s="110"/>
      <c r="V41" s="65">
        <v>3</v>
      </c>
      <c r="W41" s="65">
        <v>3</v>
      </c>
      <c r="X41" s="93" t="str">
        <f>IF(Profil!$B$37="SDT TRADI",MROUND((0.82*Profil!$F$37),Profil!$F$12)&amp;"kg",MROUND((0.83*Profil!$F$37),Profil!$F$12)&amp;"kg")</f>
        <v>0kg</v>
      </c>
      <c r="Y41" s="132"/>
      <c r="Z41" s="116" t="s">
        <v>15</v>
      </c>
      <c r="AA41" s="1"/>
    </row>
    <row r="42" spans="1:27" ht="15" customHeight="1" x14ac:dyDescent="0.25">
      <c r="A42" s="1"/>
      <c r="B42" s="75"/>
      <c r="C42" s="79" t="s">
        <v>1</v>
      </c>
      <c r="D42" s="64">
        <v>2</v>
      </c>
      <c r="E42" s="64">
        <v>10</v>
      </c>
      <c r="F42" s="74" t="s">
        <v>12</v>
      </c>
      <c r="G42" s="128"/>
      <c r="H42" s="116" t="s">
        <v>17</v>
      </c>
      <c r="I42" s="95" t="s">
        <v>65</v>
      </c>
      <c r="J42" s="96">
        <v>3</v>
      </c>
      <c r="K42" s="97" t="s">
        <v>16</v>
      </c>
      <c r="L42" s="96"/>
      <c r="M42" s="126"/>
      <c r="N42" s="2"/>
      <c r="O42" s="78" t="s">
        <v>31</v>
      </c>
      <c r="P42" s="64">
        <v>3</v>
      </c>
      <c r="Q42" s="64">
        <v>10</v>
      </c>
      <c r="R42" s="74" t="s">
        <v>12</v>
      </c>
      <c r="S42" s="128"/>
      <c r="T42" s="116" t="s">
        <v>17</v>
      </c>
      <c r="U42" s="79" t="s">
        <v>0</v>
      </c>
      <c r="V42" s="64">
        <v>1</v>
      </c>
      <c r="W42" s="80">
        <f>IF(Profil!$XFB$34&gt;13,1,2)</f>
        <v>1</v>
      </c>
      <c r="X42" s="80" t="str">
        <f>IF(Profil!$XFB$34&gt;13,"RPE7","RPE8")</f>
        <v>RPE7</v>
      </c>
      <c r="Y42" s="184"/>
      <c r="Z42" s="116" t="s">
        <v>17</v>
      </c>
      <c r="AA42" s="1"/>
    </row>
    <row r="43" spans="1:27" ht="15" customHeight="1" x14ac:dyDescent="0.25">
      <c r="A43" s="208" t="s">
        <v>25</v>
      </c>
      <c r="B43" s="75"/>
      <c r="C43" s="86" t="s">
        <v>67</v>
      </c>
      <c r="D43" s="65">
        <v>2</v>
      </c>
      <c r="E43" s="65">
        <v>7</v>
      </c>
      <c r="F43" s="87" t="s">
        <v>12</v>
      </c>
      <c r="G43" s="128"/>
      <c r="H43" s="115"/>
      <c r="I43" s="98" t="s">
        <v>22</v>
      </c>
      <c r="J43" s="99">
        <v>3</v>
      </c>
      <c r="K43" s="100" t="s">
        <v>16</v>
      </c>
      <c r="L43" s="99"/>
      <c r="M43" s="126"/>
      <c r="N43" s="1"/>
      <c r="O43" s="86" t="str">
        <f>IF(Profil!$XFA$49="Dos","Bird Dog",IF(Profil!$XFA$49="Ep","Reverse KB Press",IF(Profil!$XFA$49="Coud","Extension nuque élastique",IF(Profil!$XFA$49="Poig","Extension poignets",IF(Profil!$XFA$49="Bass","One Leg RDL",IF(Profil!$XFA$49="Genx","Nordic Leg Curl","Flexions de cheville"))))))</f>
        <v>Flexions de cheville</v>
      </c>
      <c r="P43" s="65">
        <v>3</v>
      </c>
      <c r="Q43" s="65"/>
      <c r="R43" s="65"/>
      <c r="S43" s="128"/>
      <c r="T43" s="115"/>
      <c r="U43" s="79"/>
      <c r="V43" s="80">
        <f>IF(Profil!$XFB$34&gt;17,4,3)</f>
        <v>3</v>
      </c>
      <c r="W43" s="64">
        <v>4</v>
      </c>
      <c r="X43" s="66" t="str">
        <f>MROUND((0.83*Profil!$F$26),Profil!$F$12)&amp;"kg"</f>
        <v>0kg</v>
      </c>
      <c r="Y43" s="128"/>
      <c r="Z43" s="115"/>
      <c r="AA43" s="1"/>
    </row>
    <row r="44" spans="1:27" ht="15" customHeight="1" thickBot="1" x14ac:dyDescent="0.3">
      <c r="A44" s="209"/>
      <c r="B44" s="75"/>
      <c r="C44" s="88" t="s">
        <v>19</v>
      </c>
      <c r="D44" s="67">
        <v>2</v>
      </c>
      <c r="E44" s="89" t="s">
        <v>20</v>
      </c>
      <c r="F44" s="67"/>
      <c r="G44" s="128"/>
      <c r="H44" s="117"/>
      <c r="I44" s="101" t="s">
        <v>66</v>
      </c>
      <c r="J44" s="102">
        <v>3</v>
      </c>
      <c r="K44" s="103"/>
      <c r="L44" s="104"/>
      <c r="M44" s="126"/>
      <c r="N44" s="2"/>
      <c r="O44" s="107" t="s">
        <v>21</v>
      </c>
      <c r="P44" s="108">
        <v>3</v>
      </c>
      <c r="Q44" s="109"/>
      <c r="R44" s="108"/>
      <c r="S44" s="128"/>
      <c r="T44" s="117"/>
      <c r="U44" s="70" t="str">
        <f>IF(Profil!$XFA$32="Bas","2ct Low Pin Press",IF(Profil!$XFA$32="Milieu","Larsen Press","Close Grip Bench"))</f>
        <v>Close Grip Bench</v>
      </c>
      <c r="V44" s="67">
        <v>2</v>
      </c>
      <c r="W44" s="71">
        <f>IF(Profil!$XFA$32="Bas",5,7)</f>
        <v>7</v>
      </c>
      <c r="X44" s="67" t="str">
        <f>IF(Profil!$XFA$32="Bas",MROUND((0.71*Profil!$F$26),Profil!$F$12)&amp;"kg",MROUND((0.69*Profil!$F$26),Profil!$F$12)&amp;"kg")</f>
        <v>0kg</v>
      </c>
      <c r="Y44" s="128"/>
      <c r="Z44" s="117"/>
      <c r="AA44" s="1"/>
    </row>
    <row r="45" spans="1:2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" customHeight="1" x14ac:dyDescent="0.2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</row>
    <row r="47" spans="1:27" ht="15" customHeight="1" x14ac:dyDescent="0.3">
      <c r="A47" s="188" t="s">
        <v>90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</row>
    <row r="48" spans="1:2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" hidden="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" hidden="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hidden="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hidden="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" hidden="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" hidden="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hidden="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hidden="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hidden="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hidden="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hidden="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hidden="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hidden="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hidden="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hidden="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hidden="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hidden="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3.5" hidden="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 hidden="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 hidden="1" customHeight="1" x14ac:dyDescent="0.25">
      <c r="N68" s="1"/>
    </row>
    <row r="69" spans="1:27" ht="15" hidden="1" customHeight="1" x14ac:dyDescent="0.25">
      <c r="N69" s="1"/>
    </row>
    <row r="70" spans="1:27" ht="15" hidden="1" customHeight="1" x14ac:dyDescent="0.25">
      <c r="N70" s="1"/>
    </row>
    <row r="71" spans="1:27" ht="15" hidden="1" customHeight="1" x14ac:dyDescent="0.25">
      <c r="N71" s="1"/>
    </row>
    <row r="72" spans="1:27" ht="15" hidden="1" customHeight="1" x14ac:dyDescent="0.25">
      <c r="N72" s="1"/>
    </row>
    <row r="73" spans="1:27" ht="15" hidden="1" customHeight="1" x14ac:dyDescent="0.25">
      <c r="N73" s="1"/>
    </row>
    <row r="74" spans="1:27" ht="15" hidden="1" customHeight="1" x14ac:dyDescent="0.25">
      <c r="N74" s="1"/>
    </row>
    <row r="75" spans="1:27" ht="15" hidden="1" customHeight="1" x14ac:dyDescent="0.25">
      <c r="N75" s="1"/>
    </row>
    <row r="76" spans="1:27" ht="15" hidden="1" customHeight="1" x14ac:dyDescent="0.25">
      <c r="N76" s="1"/>
    </row>
    <row r="77" spans="1:27" ht="15.75" hidden="1" customHeight="1" x14ac:dyDescent="0.25">
      <c r="N77" s="1"/>
    </row>
    <row r="78" spans="1:27" ht="15.75" hidden="1" customHeight="1" x14ac:dyDescent="0.25">
      <c r="N78" s="1"/>
    </row>
    <row r="79" spans="1:27" ht="15.75" hidden="1" customHeight="1" x14ac:dyDescent="0.25">
      <c r="N79" s="1"/>
    </row>
    <row r="80" spans="1:27" ht="15.75" hidden="1" customHeight="1" x14ac:dyDescent="0.25">
      <c r="N80" s="1"/>
    </row>
    <row r="81" spans="14:14" ht="15.75" hidden="1" customHeight="1" x14ac:dyDescent="0.25">
      <c r="N81" s="1"/>
    </row>
    <row r="82" spans="14:14" ht="15.75" hidden="1" customHeight="1" x14ac:dyDescent="0.25">
      <c r="N82" s="1"/>
    </row>
    <row r="83" spans="14:14" ht="15.75" hidden="1" customHeight="1" x14ac:dyDescent="0.25">
      <c r="N83" s="1"/>
    </row>
    <row r="84" spans="14:14" ht="15.75" hidden="1" customHeight="1" x14ac:dyDescent="0.25">
      <c r="N84" s="1"/>
    </row>
    <row r="85" spans="14:14" ht="15.75" hidden="1" customHeight="1" x14ac:dyDescent="0.25">
      <c r="N85" s="1"/>
    </row>
    <row r="86" spans="14:14" ht="15.75" hidden="1" customHeight="1" x14ac:dyDescent="0.25">
      <c r="N86" s="1"/>
    </row>
    <row r="87" spans="14:14" ht="15.75" hidden="1" customHeight="1" x14ac:dyDescent="0.25">
      <c r="N87" s="1"/>
    </row>
    <row r="88" spans="14:14" ht="15.75" hidden="1" customHeight="1" x14ac:dyDescent="0.25">
      <c r="N88" s="1"/>
    </row>
    <row r="89" spans="14:14" ht="15.75" hidden="1" customHeight="1" x14ac:dyDescent="0.25">
      <c r="N89" s="1"/>
    </row>
    <row r="90" spans="14:14" ht="15.75" hidden="1" customHeight="1" x14ac:dyDescent="0.25">
      <c r="N90" s="1"/>
    </row>
    <row r="91" spans="14:14" ht="15.75" hidden="1" customHeight="1" x14ac:dyDescent="0.25">
      <c r="N91" s="1"/>
    </row>
    <row r="92" spans="14:14" ht="15.75" hidden="1" customHeight="1" x14ac:dyDescent="0.25">
      <c r="N92" s="1"/>
    </row>
    <row r="93" spans="14:14" ht="15.75" hidden="1" customHeight="1" x14ac:dyDescent="0.25">
      <c r="N93" s="1"/>
    </row>
    <row r="94" spans="14:14" ht="15.75" hidden="1" customHeight="1" x14ac:dyDescent="0.25">
      <c r="N94" s="1"/>
    </row>
    <row r="95" spans="14:14" ht="15.75" hidden="1" customHeight="1" x14ac:dyDescent="0.25">
      <c r="N95" s="1"/>
    </row>
    <row r="96" spans="14:14" ht="15.75" hidden="1" customHeight="1" x14ac:dyDescent="0.25">
      <c r="N96" s="1"/>
    </row>
    <row r="97" spans="14:14" ht="15.75" hidden="1" customHeight="1" x14ac:dyDescent="0.25">
      <c r="N97" s="1"/>
    </row>
    <row r="98" spans="14:14" ht="15.75" hidden="1" customHeight="1" x14ac:dyDescent="0.25">
      <c r="N98" s="1"/>
    </row>
    <row r="99" spans="14:14" ht="15.75" hidden="1" customHeight="1" x14ac:dyDescent="0.25">
      <c r="N99" s="1"/>
    </row>
    <row r="100" spans="14:14" ht="15.75" hidden="1" customHeight="1" x14ac:dyDescent="0.25">
      <c r="N100" s="1"/>
    </row>
    <row r="101" spans="14:14" ht="15.75" hidden="1" customHeight="1" x14ac:dyDescent="0.25">
      <c r="N101" s="1"/>
    </row>
    <row r="102" spans="14:14" ht="15.75" hidden="1" customHeight="1" x14ac:dyDescent="0.25">
      <c r="N102" s="1"/>
    </row>
    <row r="103" spans="14:14" ht="15.75" hidden="1" customHeight="1" x14ac:dyDescent="0.25">
      <c r="N103" s="1"/>
    </row>
    <row r="104" spans="14:14" ht="15.75" hidden="1" customHeight="1" x14ac:dyDescent="0.25">
      <c r="N104" s="1"/>
    </row>
    <row r="105" spans="14:14" ht="15.75" hidden="1" customHeight="1" x14ac:dyDescent="0.25">
      <c r="N105" s="1"/>
    </row>
    <row r="106" spans="14:14" ht="15.75" hidden="1" customHeight="1" x14ac:dyDescent="0.25">
      <c r="N106" s="1"/>
    </row>
    <row r="107" spans="14:14" ht="15.75" hidden="1" customHeight="1" x14ac:dyDescent="0.25">
      <c r="N107" s="1"/>
    </row>
    <row r="108" spans="14:14" ht="15.75" hidden="1" customHeight="1" x14ac:dyDescent="0.25">
      <c r="N108" s="1"/>
    </row>
    <row r="109" spans="14:14" ht="15.75" hidden="1" customHeight="1" x14ac:dyDescent="0.25">
      <c r="N109" s="1"/>
    </row>
    <row r="110" spans="14:14" ht="15.75" hidden="1" customHeight="1" x14ac:dyDescent="0.25">
      <c r="N110" s="1"/>
    </row>
    <row r="111" spans="14:14" ht="15.75" hidden="1" customHeight="1" x14ac:dyDescent="0.25">
      <c r="N111" s="1"/>
    </row>
    <row r="112" spans="14:14" ht="15.75" hidden="1" customHeight="1" x14ac:dyDescent="0.25">
      <c r="N112" s="1"/>
    </row>
    <row r="113" spans="14:14" ht="15.75" hidden="1" customHeight="1" x14ac:dyDescent="0.25">
      <c r="N113" s="1"/>
    </row>
    <row r="114" spans="14:14" ht="15.75" hidden="1" customHeight="1" x14ac:dyDescent="0.25">
      <c r="N114" s="1"/>
    </row>
    <row r="115" spans="14:14" ht="15.75" hidden="1" customHeight="1" x14ac:dyDescent="0.25">
      <c r="N115" s="1"/>
    </row>
    <row r="116" spans="14:14" ht="15.75" hidden="1" customHeight="1" x14ac:dyDescent="0.25">
      <c r="N116" s="1"/>
    </row>
    <row r="117" spans="14:14" ht="15.75" hidden="1" customHeight="1" x14ac:dyDescent="0.25">
      <c r="N117" s="1"/>
    </row>
    <row r="118" spans="14:14" ht="15.75" hidden="1" customHeight="1" x14ac:dyDescent="0.25">
      <c r="N118" s="1"/>
    </row>
    <row r="119" spans="14:14" ht="15.75" hidden="1" customHeight="1" x14ac:dyDescent="0.25">
      <c r="N119" s="1"/>
    </row>
    <row r="120" spans="14:14" ht="15.75" hidden="1" customHeight="1" x14ac:dyDescent="0.25">
      <c r="N120" s="1"/>
    </row>
    <row r="121" spans="14:14" ht="15.75" hidden="1" customHeight="1" x14ac:dyDescent="0.25">
      <c r="N121" s="1"/>
    </row>
    <row r="122" spans="14:14" ht="15.75" hidden="1" customHeight="1" x14ac:dyDescent="0.25">
      <c r="N122" s="1"/>
    </row>
    <row r="123" spans="14:14" ht="15.75" hidden="1" customHeight="1" x14ac:dyDescent="0.25">
      <c r="N123" s="1"/>
    </row>
    <row r="124" spans="14:14" ht="15.75" hidden="1" customHeight="1" x14ac:dyDescent="0.25">
      <c r="N124" s="1"/>
    </row>
    <row r="125" spans="14:14" ht="15.75" hidden="1" customHeight="1" x14ac:dyDescent="0.25">
      <c r="N125" s="1"/>
    </row>
    <row r="126" spans="14:14" ht="15.75" hidden="1" customHeight="1" x14ac:dyDescent="0.25">
      <c r="N126" s="1"/>
    </row>
    <row r="127" spans="14:14" ht="15.75" hidden="1" customHeight="1" x14ac:dyDescent="0.25">
      <c r="N127" s="1"/>
    </row>
    <row r="128" spans="14:14" ht="15.75" hidden="1" customHeight="1" x14ac:dyDescent="0.25">
      <c r="N128" s="1"/>
    </row>
    <row r="129" spans="14:14" ht="15.75" hidden="1" customHeight="1" x14ac:dyDescent="0.25">
      <c r="N129" s="1"/>
    </row>
    <row r="130" spans="14:14" ht="15.75" hidden="1" customHeight="1" x14ac:dyDescent="0.25">
      <c r="N130" s="1"/>
    </row>
    <row r="131" spans="14:14" ht="15.75" hidden="1" customHeight="1" x14ac:dyDescent="0.25">
      <c r="N131" s="1"/>
    </row>
    <row r="132" spans="14:14" ht="15.75" hidden="1" customHeight="1" x14ac:dyDescent="0.25">
      <c r="N132" s="1"/>
    </row>
    <row r="133" spans="14:14" ht="15.75" hidden="1" customHeight="1" x14ac:dyDescent="0.25">
      <c r="N133" s="1"/>
    </row>
    <row r="134" spans="14:14" ht="15.75" hidden="1" customHeight="1" x14ac:dyDescent="0.25">
      <c r="N134" s="1"/>
    </row>
    <row r="135" spans="14:14" ht="15.75" hidden="1" customHeight="1" x14ac:dyDescent="0.25">
      <c r="N135" s="1"/>
    </row>
    <row r="136" spans="14:14" ht="15.75" hidden="1" customHeight="1" x14ac:dyDescent="0.25">
      <c r="N136" s="1"/>
    </row>
    <row r="137" spans="14:14" ht="15.75" hidden="1" customHeight="1" x14ac:dyDescent="0.25">
      <c r="N137" s="1"/>
    </row>
    <row r="138" spans="14:14" ht="15.75" hidden="1" customHeight="1" x14ac:dyDescent="0.25">
      <c r="N138" s="1"/>
    </row>
    <row r="139" spans="14:14" ht="15.75" hidden="1" customHeight="1" x14ac:dyDescent="0.25">
      <c r="N139" s="1"/>
    </row>
    <row r="140" spans="14:14" ht="15.75" hidden="1" customHeight="1" x14ac:dyDescent="0.25">
      <c r="N140" s="1"/>
    </row>
    <row r="141" spans="14:14" ht="15.75" hidden="1" customHeight="1" x14ac:dyDescent="0.25">
      <c r="N141" s="1"/>
    </row>
    <row r="142" spans="14:14" ht="15.75" hidden="1" customHeight="1" x14ac:dyDescent="0.25">
      <c r="N142" s="1"/>
    </row>
    <row r="143" spans="14:14" ht="15.75" hidden="1" customHeight="1" x14ac:dyDescent="0.25">
      <c r="N143" s="1"/>
    </row>
    <row r="144" spans="14:14" ht="15.75" hidden="1" customHeight="1" x14ac:dyDescent="0.25">
      <c r="N144" s="1"/>
    </row>
    <row r="145" spans="14:14" ht="15.75" hidden="1" customHeight="1" x14ac:dyDescent="0.25">
      <c r="N145" s="1"/>
    </row>
    <row r="146" spans="14:14" ht="15.75" hidden="1" customHeight="1" x14ac:dyDescent="0.25">
      <c r="N146" s="1"/>
    </row>
    <row r="147" spans="14:14" ht="15.75" hidden="1" customHeight="1" x14ac:dyDescent="0.25">
      <c r="N147" s="1"/>
    </row>
    <row r="148" spans="14:14" ht="15.75" hidden="1" customHeight="1" x14ac:dyDescent="0.25">
      <c r="N148" s="1"/>
    </row>
    <row r="149" spans="14:14" ht="15.75" hidden="1" customHeight="1" x14ac:dyDescent="0.25">
      <c r="N149" s="1"/>
    </row>
    <row r="150" spans="14:14" ht="15.75" hidden="1" customHeight="1" x14ac:dyDescent="0.25">
      <c r="N150" s="1"/>
    </row>
    <row r="151" spans="14:14" ht="15.75" hidden="1" customHeight="1" x14ac:dyDescent="0.25">
      <c r="N151" s="1"/>
    </row>
    <row r="152" spans="14:14" ht="15.75" hidden="1" customHeight="1" x14ac:dyDescent="0.25">
      <c r="N152" s="1"/>
    </row>
    <row r="153" spans="14:14" ht="15.75" hidden="1" customHeight="1" x14ac:dyDescent="0.25">
      <c r="N153" s="1"/>
    </row>
    <row r="154" spans="14:14" ht="15.75" hidden="1" customHeight="1" x14ac:dyDescent="0.25">
      <c r="N154" s="1"/>
    </row>
    <row r="155" spans="14:14" ht="15.75" hidden="1" customHeight="1" x14ac:dyDescent="0.25">
      <c r="N155" s="1"/>
    </row>
    <row r="156" spans="14:14" ht="15.75" hidden="1" customHeight="1" x14ac:dyDescent="0.25">
      <c r="N156" s="1"/>
    </row>
    <row r="157" spans="14:14" ht="15.75" hidden="1" customHeight="1" x14ac:dyDescent="0.25">
      <c r="N157" s="1"/>
    </row>
    <row r="158" spans="14:14" ht="15.75" hidden="1" customHeight="1" x14ac:dyDescent="0.25">
      <c r="N158" s="1"/>
    </row>
    <row r="159" spans="14:14" ht="15.75" hidden="1" customHeight="1" x14ac:dyDescent="0.25">
      <c r="N159" s="1"/>
    </row>
    <row r="160" spans="14:14" ht="15.75" hidden="1" customHeight="1" x14ac:dyDescent="0.25">
      <c r="N160" s="1"/>
    </row>
    <row r="161" spans="14:14" ht="15.75" hidden="1" customHeight="1" x14ac:dyDescent="0.25">
      <c r="N161" s="1"/>
    </row>
    <row r="162" spans="14:14" ht="15.75" hidden="1" customHeight="1" x14ac:dyDescent="0.25">
      <c r="N162" s="1"/>
    </row>
    <row r="163" spans="14:14" ht="15.75" hidden="1" customHeight="1" x14ac:dyDescent="0.25">
      <c r="N163" s="1"/>
    </row>
    <row r="164" spans="14:14" ht="15.75" hidden="1" customHeight="1" x14ac:dyDescent="0.25">
      <c r="N164" s="1"/>
    </row>
    <row r="165" spans="14:14" ht="15.75" hidden="1" customHeight="1" x14ac:dyDescent="0.25">
      <c r="N165" s="1"/>
    </row>
    <row r="166" spans="14:14" ht="15.75" hidden="1" customHeight="1" x14ac:dyDescent="0.25">
      <c r="N166" s="1"/>
    </row>
    <row r="167" spans="14:14" ht="15.75" hidden="1" customHeight="1" x14ac:dyDescent="0.25">
      <c r="N167" s="1"/>
    </row>
    <row r="168" spans="14:14" ht="15.75" hidden="1" customHeight="1" x14ac:dyDescent="0.25">
      <c r="N168" s="1"/>
    </row>
    <row r="169" spans="14:14" ht="15.75" hidden="1" customHeight="1" x14ac:dyDescent="0.25">
      <c r="N169" s="1"/>
    </row>
    <row r="170" spans="14:14" ht="15.75" hidden="1" customHeight="1" x14ac:dyDescent="0.25">
      <c r="N170" s="1"/>
    </row>
    <row r="171" spans="14:14" ht="15.75" hidden="1" customHeight="1" x14ac:dyDescent="0.25">
      <c r="N171" s="1"/>
    </row>
    <row r="172" spans="14:14" ht="15.75" hidden="1" customHeight="1" x14ac:dyDescent="0.25">
      <c r="N172" s="1"/>
    </row>
    <row r="173" spans="14:14" ht="15.75" hidden="1" customHeight="1" x14ac:dyDescent="0.25">
      <c r="N173" s="1"/>
    </row>
    <row r="174" spans="14:14" ht="15.75" hidden="1" customHeight="1" x14ac:dyDescent="0.25">
      <c r="N174" s="1"/>
    </row>
    <row r="175" spans="14:14" ht="15.75" hidden="1" customHeight="1" x14ac:dyDescent="0.25">
      <c r="N175" s="1"/>
    </row>
    <row r="176" spans="14:14" ht="15.75" hidden="1" customHeight="1" x14ac:dyDescent="0.25">
      <c r="N176" s="1"/>
    </row>
    <row r="177" spans="14:14" ht="15.75" hidden="1" customHeight="1" x14ac:dyDescent="0.25">
      <c r="N177" s="1"/>
    </row>
    <row r="178" spans="14:14" ht="15.75" hidden="1" customHeight="1" x14ac:dyDescent="0.25">
      <c r="N178" s="1"/>
    </row>
    <row r="179" spans="14:14" ht="15.75" hidden="1" customHeight="1" x14ac:dyDescent="0.25">
      <c r="N179" s="1"/>
    </row>
    <row r="180" spans="14:14" ht="15.75" hidden="1" customHeight="1" x14ac:dyDescent="0.25">
      <c r="N180" s="1"/>
    </row>
    <row r="181" spans="14:14" ht="15.75" hidden="1" customHeight="1" x14ac:dyDescent="0.25">
      <c r="N181" s="1"/>
    </row>
    <row r="182" spans="14:14" ht="15.75" hidden="1" customHeight="1" x14ac:dyDescent="0.25">
      <c r="N182" s="1"/>
    </row>
    <row r="183" spans="14:14" ht="15.75" hidden="1" customHeight="1" x14ac:dyDescent="0.25">
      <c r="N183" s="1"/>
    </row>
    <row r="184" spans="14:14" ht="15.75" hidden="1" customHeight="1" x14ac:dyDescent="0.25">
      <c r="N184" s="1"/>
    </row>
    <row r="185" spans="14:14" ht="15.75" hidden="1" customHeight="1" x14ac:dyDescent="0.25">
      <c r="N185" s="1"/>
    </row>
    <row r="186" spans="14:14" ht="15.75" hidden="1" customHeight="1" x14ac:dyDescent="0.25">
      <c r="N186" s="1"/>
    </row>
    <row r="187" spans="14:14" ht="15.75" hidden="1" customHeight="1" x14ac:dyDescent="0.25">
      <c r="N187" s="1"/>
    </row>
    <row r="188" spans="14:14" ht="15.75" hidden="1" customHeight="1" x14ac:dyDescent="0.25">
      <c r="N188" s="1"/>
    </row>
    <row r="189" spans="14:14" ht="15.75" hidden="1" customHeight="1" x14ac:dyDescent="0.25">
      <c r="N189" s="1"/>
    </row>
    <row r="190" spans="14:14" ht="15.75" hidden="1" customHeight="1" x14ac:dyDescent="0.25">
      <c r="N190" s="1"/>
    </row>
    <row r="191" spans="14:14" ht="15.75" hidden="1" customHeight="1" x14ac:dyDescent="0.25">
      <c r="N191" s="1"/>
    </row>
    <row r="192" spans="14:14" ht="15.75" hidden="1" customHeight="1" x14ac:dyDescent="0.25">
      <c r="N192" s="1"/>
    </row>
    <row r="193" spans="14:14" ht="15.75" hidden="1" customHeight="1" x14ac:dyDescent="0.25">
      <c r="N193" s="1"/>
    </row>
    <row r="194" spans="14:14" ht="15.75" hidden="1" customHeight="1" x14ac:dyDescent="0.25">
      <c r="N194" s="1"/>
    </row>
    <row r="195" spans="14:14" ht="15.75" hidden="1" customHeight="1" x14ac:dyDescent="0.25">
      <c r="N195" s="1"/>
    </row>
    <row r="196" spans="14:14" ht="15.75" hidden="1" customHeight="1" x14ac:dyDescent="0.25">
      <c r="N196" s="1"/>
    </row>
    <row r="197" spans="14:14" ht="15.75" hidden="1" customHeight="1" x14ac:dyDescent="0.25">
      <c r="N197" s="1"/>
    </row>
    <row r="198" spans="14:14" ht="15.75" hidden="1" customHeight="1" x14ac:dyDescent="0.25">
      <c r="N198" s="1"/>
    </row>
    <row r="199" spans="14:14" ht="15.75" hidden="1" customHeight="1" x14ac:dyDescent="0.25">
      <c r="N199" s="1"/>
    </row>
    <row r="200" spans="14:14" ht="15.75" hidden="1" customHeight="1" x14ac:dyDescent="0.25">
      <c r="N200" s="1"/>
    </row>
    <row r="201" spans="14:14" ht="15.75" hidden="1" customHeight="1" x14ac:dyDescent="0.25">
      <c r="N201" s="1"/>
    </row>
    <row r="202" spans="14:14" ht="15.75" hidden="1" customHeight="1" x14ac:dyDescent="0.25">
      <c r="N202" s="1"/>
    </row>
    <row r="203" spans="14:14" ht="15.75" hidden="1" customHeight="1" x14ac:dyDescent="0.25">
      <c r="N203" s="1"/>
    </row>
    <row r="204" spans="14:14" ht="15.75" hidden="1" customHeight="1" x14ac:dyDescent="0.25">
      <c r="N204" s="1"/>
    </row>
    <row r="205" spans="14:14" ht="15.75" hidden="1" customHeight="1" x14ac:dyDescent="0.25">
      <c r="N205" s="1"/>
    </row>
    <row r="206" spans="14:14" ht="15.75" hidden="1" customHeight="1" x14ac:dyDescent="0.25">
      <c r="N206" s="1"/>
    </row>
    <row r="207" spans="14:14" ht="15.75" hidden="1" customHeight="1" x14ac:dyDescent="0.25">
      <c r="N207" s="1"/>
    </row>
    <row r="208" spans="14:14" ht="15.75" hidden="1" customHeight="1" x14ac:dyDescent="0.25">
      <c r="N208" s="1"/>
    </row>
    <row r="209" spans="14:14" ht="15.75" hidden="1" customHeight="1" x14ac:dyDescent="0.25">
      <c r="N209" s="1"/>
    </row>
    <row r="210" spans="14:14" ht="15.75" hidden="1" customHeight="1" x14ac:dyDescent="0.25">
      <c r="N210" s="1"/>
    </row>
    <row r="211" spans="14:14" ht="15.75" hidden="1" customHeight="1" x14ac:dyDescent="0.25">
      <c r="N211" s="1"/>
    </row>
    <row r="212" spans="14:14" ht="15.75" hidden="1" customHeight="1" x14ac:dyDescent="0.25">
      <c r="N212" s="1"/>
    </row>
    <row r="213" spans="14:14" ht="15.75" hidden="1" customHeight="1" x14ac:dyDescent="0.25">
      <c r="N213" s="1"/>
    </row>
    <row r="214" spans="14:14" ht="15.75" hidden="1" customHeight="1" x14ac:dyDescent="0.25">
      <c r="N214" s="1"/>
    </row>
    <row r="215" spans="14:14" ht="15.75" hidden="1" customHeight="1" x14ac:dyDescent="0.25">
      <c r="N215" s="1"/>
    </row>
    <row r="216" spans="14:14" ht="15.75" hidden="1" customHeight="1" x14ac:dyDescent="0.25">
      <c r="N216" s="1"/>
    </row>
    <row r="217" spans="14:14" ht="15.75" hidden="1" customHeight="1" x14ac:dyDescent="0.25">
      <c r="N217" s="1"/>
    </row>
    <row r="218" spans="14:14" ht="15.75" hidden="1" customHeight="1" x14ac:dyDescent="0.25">
      <c r="N218" s="1"/>
    </row>
    <row r="219" spans="14:14" ht="15.75" hidden="1" customHeight="1" x14ac:dyDescent="0.25">
      <c r="N219" s="1"/>
    </row>
    <row r="220" spans="14:14" ht="15.75" hidden="1" customHeight="1" x14ac:dyDescent="0.25">
      <c r="N220" s="1"/>
    </row>
    <row r="221" spans="14:14" ht="15.75" hidden="1" customHeight="1" x14ac:dyDescent="0.25">
      <c r="N221" s="1"/>
    </row>
    <row r="222" spans="14:14" ht="15.75" hidden="1" customHeight="1" x14ac:dyDescent="0.25">
      <c r="N222" s="1"/>
    </row>
    <row r="223" spans="14:14" ht="15.75" hidden="1" customHeight="1" x14ac:dyDescent="0.25">
      <c r="N223" s="1"/>
    </row>
    <row r="224" spans="14:14" ht="15.75" hidden="1" customHeight="1" x14ac:dyDescent="0.25">
      <c r="N224" s="1"/>
    </row>
    <row r="225" spans="14:14" ht="15.75" hidden="1" customHeight="1" x14ac:dyDescent="0.25">
      <c r="N225" s="1"/>
    </row>
    <row r="226" spans="14:14" ht="15.75" hidden="1" customHeight="1" x14ac:dyDescent="0.25">
      <c r="N226" s="1"/>
    </row>
    <row r="227" spans="14:14" ht="15.75" hidden="1" customHeight="1" x14ac:dyDescent="0.25">
      <c r="N227" s="1"/>
    </row>
    <row r="228" spans="14:14" ht="15.75" hidden="1" customHeight="1" x14ac:dyDescent="0.25">
      <c r="N228" s="1"/>
    </row>
    <row r="229" spans="14:14" ht="15.75" hidden="1" customHeight="1" x14ac:dyDescent="0.25">
      <c r="N229" s="1"/>
    </row>
    <row r="230" spans="14:14" ht="15.75" hidden="1" customHeight="1" x14ac:dyDescent="0.25">
      <c r="N230" s="1"/>
    </row>
    <row r="231" spans="14:14" ht="15.75" hidden="1" customHeight="1" x14ac:dyDescent="0.25">
      <c r="N231" s="1"/>
    </row>
    <row r="232" spans="14:14" ht="15.75" hidden="1" customHeight="1" x14ac:dyDescent="0.25">
      <c r="N232" s="1"/>
    </row>
    <row r="233" spans="14:14" ht="15.75" hidden="1" customHeight="1" x14ac:dyDescent="0.25">
      <c r="N233" s="1"/>
    </row>
    <row r="234" spans="14:14" ht="15.75" hidden="1" customHeight="1" x14ac:dyDescent="0.25">
      <c r="N234" s="1"/>
    </row>
    <row r="235" spans="14:14" ht="15.75" hidden="1" customHeight="1" x14ac:dyDescent="0.25">
      <c r="N235" s="1"/>
    </row>
    <row r="236" spans="14:14" ht="15.75" hidden="1" customHeight="1" x14ac:dyDescent="0.25">
      <c r="N236" s="1"/>
    </row>
    <row r="237" spans="14:14" ht="15.75" hidden="1" customHeight="1" x14ac:dyDescent="0.25">
      <c r="N237" s="1"/>
    </row>
    <row r="238" spans="14:14" ht="15.75" hidden="1" customHeight="1" x14ac:dyDescent="0.25">
      <c r="N238" s="1"/>
    </row>
    <row r="239" spans="14:14" ht="15.75" hidden="1" customHeight="1" x14ac:dyDescent="0.25">
      <c r="N239" s="1"/>
    </row>
    <row r="240" spans="14:14" ht="15.75" hidden="1" customHeight="1" x14ac:dyDescent="0.25">
      <c r="N240" s="1"/>
    </row>
    <row r="241" spans="14:14" ht="15.75" hidden="1" customHeight="1" x14ac:dyDescent="0.25">
      <c r="N241" s="1"/>
    </row>
    <row r="242" spans="14:14" ht="15.75" hidden="1" customHeight="1" x14ac:dyDescent="0.25">
      <c r="N242" s="1"/>
    </row>
    <row r="243" spans="14:14" ht="15.75" hidden="1" customHeight="1" x14ac:dyDescent="0.25">
      <c r="N243" s="1"/>
    </row>
    <row r="244" spans="14:14" ht="15.75" hidden="1" customHeight="1" x14ac:dyDescent="0.25">
      <c r="N244" s="1"/>
    </row>
    <row r="245" spans="14:14" ht="15.75" hidden="1" customHeight="1" x14ac:dyDescent="0.25">
      <c r="N245" s="1"/>
    </row>
    <row r="246" spans="14:14" ht="15.75" hidden="1" customHeight="1" x14ac:dyDescent="0.25">
      <c r="N246" s="1"/>
    </row>
    <row r="247" spans="14:14" ht="15.75" hidden="1" customHeight="1" x14ac:dyDescent="0.25">
      <c r="N247" s="1"/>
    </row>
    <row r="248" spans="14:14" ht="15.75" hidden="1" customHeight="1" x14ac:dyDescent="0.25">
      <c r="N248" s="1"/>
    </row>
    <row r="249" spans="14:14" ht="15.75" hidden="1" customHeight="1" x14ac:dyDescent="0.25">
      <c r="N249" s="1"/>
    </row>
    <row r="250" spans="14:14" ht="15.75" hidden="1" customHeight="1" x14ac:dyDescent="0.25">
      <c r="N250" s="1"/>
    </row>
    <row r="251" spans="14:14" ht="15.75" hidden="1" customHeight="1" x14ac:dyDescent="0.25">
      <c r="N251" s="1"/>
    </row>
    <row r="252" spans="14:14" ht="15.75" hidden="1" customHeight="1" x14ac:dyDescent="0.25">
      <c r="N252" s="1"/>
    </row>
    <row r="253" spans="14:14" ht="15.75" hidden="1" customHeight="1" x14ac:dyDescent="0.25">
      <c r="N253" s="1"/>
    </row>
    <row r="254" spans="14:14" ht="15.75" hidden="1" customHeight="1" x14ac:dyDescent="0.25">
      <c r="N254" s="1"/>
    </row>
    <row r="255" spans="14:14" ht="15.75" hidden="1" customHeight="1" x14ac:dyDescent="0.25">
      <c r="N255" s="1"/>
    </row>
    <row r="256" spans="14:14" ht="15.75" hidden="1" customHeight="1" x14ac:dyDescent="0.25">
      <c r="N256" s="1"/>
    </row>
    <row r="257" spans="14:14" ht="15.75" hidden="1" customHeight="1" x14ac:dyDescent="0.25">
      <c r="N257" s="1"/>
    </row>
    <row r="258" spans="14:14" ht="15.75" hidden="1" customHeight="1" x14ac:dyDescent="0.25">
      <c r="N258" s="1"/>
    </row>
    <row r="259" spans="14:14" ht="15.75" hidden="1" customHeight="1" x14ac:dyDescent="0.25">
      <c r="N259" s="1"/>
    </row>
    <row r="260" spans="14:14" ht="15.75" hidden="1" customHeight="1" x14ac:dyDescent="0.25">
      <c r="N260" s="1"/>
    </row>
    <row r="261" spans="14:14" ht="15.75" hidden="1" customHeight="1" x14ac:dyDescent="0.25">
      <c r="N261" s="1"/>
    </row>
    <row r="262" spans="14:14" ht="15.75" hidden="1" customHeight="1" x14ac:dyDescent="0.25">
      <c r="N262" s="1"/>
    </row>
    <row r="263" spans="14:14" ht="15.75" hidden="1" customHeight="1" x14ac:dyDescent="0.25">
      <c r="N263" s="1"/>
    </row>
    <row r="264" spans="14:14" ht="15.75" hidden="1" customHeight="1" x14ac:dyDescent="0.25">
      <c r="N264" s="1"/>
    </row>
    <row r="265" spans="14:14" ht="15.75" hidden="1" customHeight="1" x14ac:dyDescent="0.25">
      <c r="N265" s="1"/>
    </row>
    <row r="266" spans="14:14" ht="15.75" hidden="1" customHeight="1" x14ac:dyDescent="0.25">
      <c r="N266" s="1"/>
    </row>
    <row r="267" spans="14:14" ht="15.75" hidden="1" customHeight="1" x14ac:dyDescent="0.25">
      <c r="N267" s="1"/>
    </row>
    <row r="268" spans="14:14" ht="15.75" hidden="1" customHeight="1" x14ac:dyDescent="0.25">
      <c r="N268" s="1"/>
    </row>
    <row r="269" spans="14:14" ht="15.75" hidden="1" customHeight="1" x14ac:dyDescent="0.25">
      <c r="N269" s="1"/>
    </row>
    <row r="270" spans="14:14" ht="15.75" hidden="1" customHeight="1" x14ac:dyDescent="0.25">
      <c r="N270" s="1"/>
    </row>
    <row r="271" spans="14:14" ht="15.75" hidden="1" customHeight="1" x14ac:dyDescent="0.25">
      <c r="N271" s="1"/>
    </row>
    <row r="272" spans="14:14" ht="15.75" hidden="1" customHeight="1" x14ac:dyDescent="0.25">
      <c r="N272" s="1"/>
    </row>
    <row r="273" spans="14:14" ht="15.75" hidden="1" customHeight="1" x14ac:dyDescent="0.25">
      <c r="N273" s="1"/>
    </row>
    <row r="274" spans="14:14" ht="15.75" hidden="1" customHeight="1" x14ac:dyDescent="0.25">
      <c r="N274" s="1"/>
    </row>
    <row r="275" spans="14:14" ht="15.75" hidden="1" customHeight="1" x14ac:dyDescent="0.25">
      <c r="N275" s="1"/>
    </row>
    <row r="276" spans="14:14" ht="15.75" hidden="1" customHeight="1" x14ac:dyDescent="0.25">
      <c r="N276" s="1"/>
    </row>
    <row r="277" spans="14:14" ht="15.75" hidden="1" customHeight="1" x14ac:dyDescent="0.25">
      <c r="N277" s="1"/>
    </row>
    <row r="278" spans="14:14" ht="15.75" hidden="1" customHeight="1" x14ac:dyDescent="0.25">
      <c r="N278" s="1"/>
    </row>
    <row r="279" spans="14:14" ht="15.75" hidden="1" customHeight="1" x14ac:dyDescent="0.25">
      <c r="N279" s="1"/>
    </row>
    <row r="280" spans="14:14" ht="15.75" hidden="1" customHeight="1" x14ac:dyDescent="0.25">
      <c r="N280" s="1"/>
    </row>
    <row r="281" spans="14:14" ht="15.75" hidden="1" customHeight="1" x14ac:dyDescent="0.25">
      <c r="N281" s="1"/>
    </row>
    <row r="282" spans="14:14" ht="15.75" hidden="1" customHeight="1" x14ac:dyDescent="0.25">
      <c r="N282" s="1"/>
    </row>
    <row r="283" spans="14:14" ht="15.75" hidden="1" customHeight="1" x14ac:dyDescent="0.25">
      <c r="N283" s="1"/>
    </row>
    <row r="284" spans="14:14" ht="15.75" hidden="1" customHeight="1" x14ac:dyDescent="0.25">
      <c r="N284" s="1"/>
    </row>
    <row r="285" spans="14:14" ht="15.75" hidden="1" customHeight="1" x14ac:dyDescent="0.25">
      <c r="N285" s="1"/>
    </row>
    <row r="286" spans="14:14" ht="15.75" hidden="1" customHeight="1" x14ac:dyDescent="0.25">
      <c r="N286" s="1"/>
    </row>
    <row r="287" spans="14:14" ht="15.75" hidden="1" customHeight="1" x14ac:dyDescent="0.25">
      <c r="N287" s="1"/>
    </row>
    <row r="288" spans="14:14" ht="15.75" hidden="1" customHeight="1" x14ac:dyDescent="0.25">
      <c r="N288" s="1"/>
    </row>
    <row r="289" spans="14:14" ht="15.75" hidden="1" customHeight="1" x14ac:dyDescent="0.25">
      <c r="N289" s="1"/>
    </row>
    <row r="290" spans="14:14" ht="15.75" hidden="1" customHeight="1" x14ac:dyDescent="0.25">
      <c r="N290" s="1"/>
    </row>
    <row r="291" spans="14:14" ht="15.75" hidden="1" customHeight="1" x14ac:dyDescent="0.25">
      <c r="N291" s="1"/>
    </row>
    <row r="292" spans="14:14" ht="15.75" hidden="1" customHeight="1" x14ac:dyDescent="0.25">
      <c r="N292" s="1"/>
    </row>
    <row r="293" spans="14:14" ht="15.75" hidden="1" customHeight="1" x14ac:dyDescent="0.25">
      <c r="N293" s="1"/>
    </row>
    <row r="294" spans="14:14" ht="15.75" hidden="1" customHeight="1" x14ac:dyDescent="0.25">
      <c r="N294" s="1"/>
    </row>
    <row r="295" spans="14:14" ht="15.75" hidden="1" customHeight="1" x14ac:dyDescent="0.25">
      <c r="N295" s="1"/>
    </row>
    <row r="296" spans="14:14" ht="15.75" hidden="1" customHeight="1" x14ac:dyDescent="0.25">
      <c r="N296" s="1"/>
    </row>
    <row r="297" spans="14:14" ht="15.75" hidden="1" customHeight="1" x14ac:dyDescent="0.25">
      <c r="N297" s="1"/>
    </row>
    <row r="298" spans="14:14" ht="15.75" hidden="1" customHeight="1" x14ac:dyDescent="0.25">
      <c r="N298" s="1"/>
    </row>
    <row r="299" spans="14:14" ht="15.75" hidden="1" customHeight="1" x14ac:dyDescent="0.25">
      <c r="N299" s="1"/>
    </row>
    <row r="300" spans="14:14" ht="15.75" hidden="1" customHeight="1" x14ac:dyDescent="0.25">
      <c r="N300" s="1"/>
    </row>
    <row r="301" spans="14:14" ht="15.75" hidden="1" customHeight="1" x14ac:dyDescent="0.25">
      <c r="N301" s="1"/>
    </row>
    <row r="302" spans="14:14" ht="15.75" hidden="1" customHeight="1" x14ac:dyDescent="0.25">
      <c r="N302" s="1"/>
    </row>
    <row r="303" spans="14:14" ht="15.75" hidden="1" customHeight="1" x14ac:dyDescent="0.25">
      <c r="N303" s="1"/>
    </row>
    <row r="304" spans="14:14" ht="15.75" hidden="1" customHeight="1" x14ac:dyDescent="0.25">
      <c r="N304" s="1"/>
    </row>
    <row r="305" spans="14:14" ht="15.75" hidden="1" customHeight="1" x14ac:dyDescent="0.25">
      <c r="N305" s="1"/>
    </row>
    <row r="306" spans="14:14" ht="15.75" hidden="1" customHeight="1" x14ac:dyDescent="0.25">
      <c r="N306" s="1"/>
    </row>
    <row r="307" spans="14:14" ht="15.75" hidden="1" customHeight="1" x14ac:dyDescent="0.25">
      <c r="N307" s="1"/>
    </row>
    <row r="308" spans="14:14" ht="15.75" hidden="1" customHeight="1" x14ac:dyDescent="0.25">
      <c r="N308" s="1"/>
    </row>
    <row r="309" spans="14:14" ht="15.75" hidden="1" customHeight="1" x14ac:dyDescent="0.25">
      <c r="N309" s="1"/>
    </row>
    <row r="310" spans="14:14" ht="15.75" hidden="1" customHeight="1" x14ac:dyDescent="0.25">
      <c r="N310" s="1"/>
    </row>
    <row r="311" spans="14:14" ht="15.75" hidden="1" customHeight="1" x14ac:dyDescent="0.25">
      <c r="N311" s="1"/>
    </row>
    <row r="312" spans="14:14" ht="15.75" hidden="1" customHeight="1" x14ac:dyDescent="0.25">
      <c r="N312" s="1"/>
    </row>
    <row r="313" spans="14:14" ht="15.75" hidden="1" customHeight="1" x14ac:dyDescent="0.25">
      <c r="N313" s="1"/>
    </row>
    <row r="314" spans="14:14" ht="15.75" hidden="1" customHeight="1" x14ac:dyDescent="0.25">
      <c r="N314" s="1"/>
    </row>
    <row r="315" spans="14:14" ht="15.75" hidden="1" customHeight="1" x14ac:dyDescent="0.25">
      <c r="N315" s="1"/>
    </row>
    <row r="316" spans="14:14" ht="15.75" hidden="1" customHeight="1" x14ac:dyDescent="0.25">
      <c r="N316" s="1"/>
    </row>
    <row r="317" spans="14:14" ht="15.75" hidden="1" customHeight="1" x14ac:dyDescent="0.25">
      <c r="N317" s="1"/>
    </row>
    <row r="318" spans="14:14" ht="15.75" hidden="1" customHeight="1" x14ac:dyDescent="0.25">
      <c r="N318" s="1"/>
    </row>
    <row r="319" spans="14:14" ht="15.75" hidden="1" customHeight="1" x14ac:dyDescent="0.25">
      <c r="N319" s="1"/>
    </row>
    <row r="320" spans="14:14" ht="15.75" hidden="1" customHeight="1" x14ac:dyDescent="0.25">
      <c r="N320" s="1"/>
    </row>
    <row r="321" spans="14:14" ht="15.75" hidden="1" customHeight="1" x14ac:dyDescent="0.25">
      <c r="N321" s="1"/>
    </row>
    <row r="322" spans="14:14" ht="15.75" hidden="1" customHeight="1" x14ac:dyDescent="0.25">
      <c r="N322" s="1"/>
    </row>
    <row r="323" spans="14:14" ht="15.75" hidden="1" customHeight="1" x14ac:dyDescent="0.25">
      <c r="N323" s="1"/>
    </row>
    <row r="324" spans="14:14" ht="15.75" hidden="1" customHeight="1" x14ac:dyDescent="0.25">
      <c r="N324" s="1"/>
    </row>
    <row r="325" spans="14:14" ht="15.75" hidden="1" customHeight="1" x14ac:dyDescent="0.25">
      <c r="N325" s="1"/>
    </row>
    <row r="326" spans="14:14" ht="15.75" hidden="1" customHeight="1" x14ac:dyDescent="0.25">
      <c r="N326" s="1"/>
    </row>
    <row r="327" spans="14:14" ht="15.75" hidden="1" customHeight="1" x14ac:dyDescent="0.25">
      <c r="N327" s="1"/>
    </row>
    <row r="328" spans="14:14" ht="15.75" hidden="1" customHeight="1" x14ac:dyDescent="0.25">
      <c r="N328" s="1"/>
    </row>
    <row r="329" spans="14:14" ht="15.75" hidden="1" customHeight="1" x14ac:dyDescent="0.25">
      <c r="N329" s="1"/>
    </row>
    <row r="330" spans="14:14" ht="15.75" hidden="1" customHeight="1" x14ac:dyDescent="0.25">
      <c r="N330" s="1"/>
    </row>
    <row r="331" spans="14:14" ht="15.75" hidden="1" customHeight="1" x14ac:dyDescent="0.25">
      <c r="N331" s="1"/>
    </row>
    <row r="332" spans="14:14" ht="15.75" hidden="1" customHeight="1" x14ac:dyDescent="0.25">
      <c r="N332" s="1"/>
    </row>
    <row r="333" spans="14:14" ht="15.75" hidden="1" customHeight="1" x14ac:dyDescent="0.25">
      <c r="N333" s="1"/>
    </row>
    <row r="334" spans="14:14" ht="15.75" hidden="1" customHeight="1" x14ac:dyDescent="0.25">
      <c r="N334" s="1"/>
    </row>
    <row r="335" spans="14:14" ht="15.75" hidden="1" customHeight="1" x14ac:dyDescent="0.25">
      <c r="N335" s="1"/>
    </row>
    <row r="336" spans="14:14" ht="15.75" hidden="1" customHeight="1" x14ac:dyDescent="0.25">
      <c r="N336" s="1"/>
    </row>
    <row r="337" spans="14:14" ht="15.75" hidden="1" customHeight="1" x14ac:dyDescent="0.25">
      <c r="N337" s="1"/>
    </row>
    <row r="338" spans="14:14" ht="15.75" hidden="1" customHeight="1" x14ac:dyDescent="0.25">
      <c r="N338" s="1"/>
    </row>
    <row r="339" spans="14:14" ht="15.75" hidden="1" customHeight="1" x14ac:dyDescent="0.25">
      <c r="N339" s="1"/>
    </row>
    <row r="340" spans="14:14" ht="15.75" hidden="1" customHeight="1" x14ac:dyDescent="0.25">
      <c r="N340" s="1"/>
    </row>
    <row r="341" spans="14:14" ht="15.75" hidden="1" customHeight="1" x14ac:dyDescent="0.25">
      <c r="N341" s="1"/>
    </row>
    <row r="342" spans="14:14" ht="15.75" hidden="1" customHeight="1" x14ac:dyDescent="0.25">
      <c r="N342" s="1"/>
    </row>
    <row r="343" spans="14:14" ht="15.75" hidden="1" customHeight="1" x14ac:dyDescent="0.25">
      <c r="N343" s="1"/>
    </row>
    <row r="344" spans="14:14" ht="15.75" hidden="1" customHeight="1" x14ac:dyDescent="0.25">
      <c r="N344" s="1"/>
    </row>
    <row r="345" spans="14:14" ht="15.75" hidden="1" customHeight="1" x14ac:dyDescent="0.25">
      <c r="N345" s="1"/>
    </row>
    <row r="346" spans="14:14" ht="15.75" hidden="1" customHeight="1" x14ac:dyDescent="0.25">
      <c r="N346" s="1"/>
    </row>
    <row r="347" spans="14:14" ht="15.75" hidden="1" customHeight="1" x14ac:dyDescent="0.25">
      <c r="N347" s="1"/>
    </row>
    <row r="348" spans="14:14" ht="15.75" hidden="1" customHeight="1" x14ac:dyDescent="0.25">
      <c r="N348" s="1"/>
    </row>
    <row r="349" spans="14:14" ht="15.75" hidden="1" customHeight="1" x14ac:dyDescent="0.25">
      <c r="N349" s="1"/>
    </row>
    <row r="350" spans="14:14" ht="15.75" hidden="1" customHeight="1" x14ac:dyDescent="0.25">
      <c r="N350" s="1"/>
    </row>
    <row r="351" spans="14:14" ht="15.75" hidden="1" customHeight="1" x14ac:dyDescent="0.25">
      <c r="N351" s="1"/>
    </row>
    <row r="352" spans="14:14" ht="15.75" hidden="1" customHeight="1" x14ac:dyDescent="0.25">
      <c r="N352" s="1"/>
    </row>
    <row r="353" spans="14:14" ht="15.75" hidden="1" customHeight="1" x14ac:dyDescent="0.25">
      <c r="N353" s="1"/>
    </row>
    <row r="354" spans="14:14" ht="15.75" hidden="1" customHeight="1" x14ac:dyDescent="0.25">
      <c r="N354" s="1"/>
    </row>
    <row r="355" spans="14:14" ht="15.75" hidden="1" customHeight="1" x14ac:dyDescent="0.25">
      <c r="N355" s="1"/>
    </row>
    <row r="356" spans="14:14" ht="15.75" hidden="1" customHeight="1" x14ac:dyDescent="0.25">
      <c r="N356" s="1"/>
    </row>
    <row r="357" spans="14:14" ht="15.75" hidden="1" customHeight="1" x14ac:dyDescent="0.25">
      <c r="N357" s="1"/>
    </row>
    <row r="358" spans="14:14" ht="15.75" hidden="1" customHeight="1" x14ac:dyDescent="0.25">
      <c r="N358" s="1"/>
    </row>
    <row r="359" spans="14:14" ht="15.75" hidden="1" customHeight="1" x14ac:dyDescent="0.25">
      <c r="N359" s="1"/>
    </row>
    <row r="360" spans="14:14" ht="15.75" hidden="1" customHeight="1" x14ac:dyDescent="0.25">
      <c r="N360" s="1"/>
    </row>
    <row r="361" spans="14:14" ht="15.75" hidden="1" customHeight="1" x14ac:dyDescent="0.25">
      <c r="N361" s="1"/>
    </row>
    <row r="362" spans="14:14" ht="15.75" hidden="1" customHeight="1" x14ac:dyDescent="0.25">
      <c r="N362" s="1"/>
    </row>
    <row r="363" spans="14:14" ht="15.75" hidden="1" customHeight="1" x14ac:dyDescent="0.25">
      <c r="N363" s="1"/>
    </row>
    <row r="364" spans="14:14" ht="15.75" hidden="1" customHeight="1" x14ac:dyDescent="0.25">
      <c r="N364" s="1"/>
    </row>
    <row r="365" spans="14:14" ht="15.75" hidden="1" customHeight="1" x14ac:dyDescent="0.25">
      <c r="N365" s="1"/>
    </row>
    <row r="366" spans="14:14" ht="15.75" hidden="1" customHeight="1" x14ac:dyDescent="0.25">
      <c r="N366" s="1"/>
    </row>
    <row r="367" spans="14:14" ht="15.75" hidden="1" customHeight="1" x14ac:dyDescent="0.25">
      <c r="N367" s="1"/>
    </row>
    <row r="368" spans="14:14" ht="15.75" hidden="1" customHeight="1" x14ac:dyDescent="0.25">
      <c r="N368" s="1"/>
    </row>
    <row r="369" spans="14:14" ht="15.75" hidden="1" customHeight="1" x14ac:dyDescent="0.25">
      <c r="N369" s="1"/>
    </row>
    <row r="370" spans="14:14" ht="15.75" hidden="1" customHeight="1" x14ac:dyDescent="0.25">
      <c r="N370" s="1"/>
    </row>
    <row r="371" spans="14:14" ht="15.75" hidden="1" customHeight="1" x14ac:dyDescent="0.25">
      <c r="N371" s="1"/>
    </row>
    <row r="372" spans="14:14" ht="15.75" hidden="1" customHeight="1" x14ac:dyDescent="0.25">
      <c r="N372" s="1"/>
    </row>
    <row r="373" spans="14:14" ht="15.75" hidden="1" customHeight="1" x14ac:dyDescent="0.25">
      <c r="N373" s="1"/>
    </row>
    <row r="374" spans="14:14" ht="15.75" hidden="1" customHeight="1" x14ac:dyDescent="0.25">
      <c r="N374" s="1"/>
    </row>
    <row r="375" spans="14:14" ht="15.75" hidden="1" customHeight="1" x14ac:dyDescent="0.25">
      <c r="N375" s="1"/>
    </row>
    <row r="376" spans="14:14" ht="15.75" hidden="1" customHeight="1" x14ac:dyDescent="0.25">
      <c r="N376" s="1"/>
    </row>
    <row r="377" spans="14:14" ht="15.75" hidden="1" customHeight="1" x14ac:dyDescent="0.25">
      <c r="N377" s="1"/>
    </row>
    <row r="378" spans="14:14" ht="15.75" hidden="1" customHeight="1" x14ac:dyDescent="0.25">
      <c r="N378" s="1"/>
    </row>
    <row r="379" spans="14:14" ht="15.75" hidden="1" customHeight="1" x14ac:dyDescent="0.25">
      <c r="N379" s="1"/>
    </row>
    <row r="380" spans="14:14" ht="15.75" hidden="1" customHeight="1" x14ac:dyDescent="0.25">
      <c r="N380" s="1"/>
    </row>
    <row r="381" spans="14:14" ht="15.75" hidden="1" customHeight="1" x14ac:dyDescent="0.25">
      <c r="N381" s="1"/>
    </row>
    <row r="382" spans="14:14" ht="15.75" hidden="1" customHeight="1" x14ac:dyDescent="0.25">
      <c r="N382" s="1"/>
    </row>
    <row r="383" spans="14:14" ht="15.75" hidden="1" customHeight="1" x14ac:dyDescent="0.25">
      <c r="N383" s="1"/>
    </row>
    <row r="384" spans="14:14" ht="15.75" hidden="1" customHeight="1" x14ac:dyDescent="0.25">
      <c r="N384" s="1"/>
    </row>
    <row r="385" spans="14:14" ht="15.75" hidden="1" customHeight="1" x14ac:dyDescent="0.25">
      <c r="N385" s="1"/>
    </row>
    <row r="386" spans="14:14" ht="15.75" hidden="1" customHeight="1" x14ac:dyDescent="0.25">
      <c r="N386" s="1"/>
    </row>
    <row r="387" spans="14:14" ht="15.75" hidden="1" customHeight="1" x14ac:dyDescent="0.25">
      <c r="N387" s="1"/>
    </row>
    <row r="388" spans="14:14" ht="15.75" hidden="1" customHeight="1" x14ac:dyDescent="0.25">
      <c r="N388" s="1"/>
    </row>
    <row r="389" spans="14:14" ht="15.75" hidden="1" customHeight="1" x14ac:dyDescent="0.25">
      <c r="N389" s="1"/>
    </row>
    <row r="390" spans="14:14" ht="15.75" hidden="1" customHeight="1" x14ac:dyDescent="0.25">
      <c r="N390" s="1"/>
    </row>
    <row r="391" spans="14:14" ht="15.75" hidden="1" customHeight="1" x14ac:dyDescent="0.25">
      <c r="N391" s="1"/>
    </row>
    <row r="392" spans="14:14" ht="15.75" hidden="1" customHeight="1" x14ac:dyDescent="0.25">
      <c r="N392" s="1"/>
    </row>
    <row r="393" spans="14:14" ht="15.75" hidden="1" customHeight="1" x14ac:dyDescent="0.25">
      <c r="N393" s="1"/>
    </row>
    <row r="394" spans="14:14" ht="15.75" hidden="1" customHeight="1" x14ac:dyDescent="0.25">
      <c r="N394" s="1"/>
    </row>
    <row r="395" spans="14:14" ht="15.75" hidden="1" customHeight="1" x14ac:dyDescent="0.25">
      <c r="N395" s="1"/>
    </row>
    <row r="396" spans="14:14" ht="15.75" hidden="1" customHeight="1" x14ac:dyDescent="0.25">
      <c r="N396" s="1"/>
    </row>
    <row r="397" spans="14:14" ht="15.75" hidden="1" customHeight="1" x14ac:dyDescent="0.25">
      <c r="N397" s="1"/>
    </row>
    <row r="398" spans="14:14" ht="15.75" hidden="1" customHeight="1" x14ac:dyDescent="0.25">
      <c r="N398" s="1"/>
    </row>
    <row r="399" spans="14:14" ht="15.75" hidden="1" customHeight="1" x14ac:dyDescent="0.25">
      <c r="N399" s="1"/>
    </row>
    <row r="400" spans="14:14" ht="15.75" hidden="1" customHeight="1" x14ac:dyDescent="0.25">
      <c r="N400" s="1"/>
    </row>
    <row r="401" spans="14:14" ht="15.75" hidden="1" customHeight="1" x14ac:dyDescent="0.25">
      <c r="N401" s="1"/>
    </row>
    <row r="402" spans="14:14" ht="15.75" hidden="1" customHeight="1" x14ac:dyDescent="0.25">
      <c r="N402" s="1"/>
    </row>
    <row r="403" spans="14:14" ht="15.75" hidden="1" customHeight="1" x14ac:dyDescent="0.25">
      <c r="N403" s="1"/>
    </row>
    <row r="404" spans="14:14" ht="15.75" hidden="1" customHeight="1" x14ac:dyDescent="0.25">
      <c r="N404" s="1"/>
    </row>
    <row r="405" spans="14:14" ht="15.75" hidden="1" customHeight="1" x14ac:dyDescent="0.25">
      <c r="N405" s="1"/>
    </row>
    <row r="406" spans="14:14" ht="15.75" hidden="1" customHeight="1" x14ac:dyDescent="0.25">
      <c r="N406" s="1"/>
    </row>
    <row r="407" spans="14:14" ht="15.75" hidden="1" customHeight="1" x14ac:dyDescent="0.25">
      <c r="N407" s="1"/>
    </row>
    <row r="408" spans="14:14" ht="15.75" hidden="1" customHeight="1" x14ac:dyDescent="0.25">
      <c r="N408" s="1"/>
    </row>
    <row r="409" spans="14:14" ht="15.75" hidden="1" customHeight="1" x14ac:dyDescent="0.25">
      <c r="N409" s="1"/>
    </row>
    <row r="410" spans="14:14" ht="15.75" hidden="1" customHeight="1" x14ac:dyDescent="0.25">
      <c r="N410" s="1"/>
    </row>
    <row r="411" spans="14:14" ht="15.75" hidden="1" customHeight="1" x14ac:dyDescent="0.25">
      <c r="N411" s="1"/>
    </row>
    <row r="412" spans="14:14" ht="15.75" hidden="1" customHeight="1" x14ac:dyDescent="0.25">
      <c r="N412" s="1"/>
    </row>
    <row r="413" spans="14:14" ht="15.75" hidden="1" customHeight="1" x14ac:dyDescent="0.25">
      <c r="N413" s="1"/>
    </row>
    <row r="414" spans="14:14" ht="15.75" hidden="1" customHeight="1" x14ac:dyDescent="0.25">
      <c r="N414" s="1"/>
    </row>
    <row r="415" spans="14:14" ht="15.75" hidden="1" customHeight="1" x14ac:dyDescent="0.25">
      <c r="N415" s="1"/>
    </row>
    <row r="416" spans="14:14" ht="15.75" hidden="1" customHeight="1" x14ac:dyDescent="0.25">
      <c r="N416" s="1"/>
    </row>
    <row r="417" spans="14:14" ht="15.75" hidden="1" customHeight="1" x14ac:dyDescent="0.25">
      <c r="N417" s="1"/>
    </row>
    <row r="418" spans="14:14" ht="15.75" hidden="1" customHeight="1" x14ac:dyDescent="0.25">
      <c r="N418" s="1"/>
    </row>
    <row r="419" spans="14:14" ht="15.75" hidden="1" customHeight="1" x14ac:dyDescent="0.25">
      <c r="N419" s="1"/>
    </row>
    <row r="420" spans="14:14" ht="15.75" hidden="1" customHeight="1" x14ac:dyDescent="0.25">
      <c r="N420" s="1"/>
    </row>
    <row r="421" spans="14:14" ht="15.75" hidden="1" customHeight="1" x14ac:dyDescent="0.25">
      <c r="N421" s="1"/>
    </row>
    <row r="422" spans="14:14" ht="15.75" hidden="1" customHeight="1" x14ac:dyDescent="0.25">
      <c r="N422" s="1"/>
    </row>
    <row r="423" spans="14:14" ht="15.75" hidden="1" customHeight="1" x14ac:dyDescent="0.25">
      <c r="N423" s="1"/>
    </row>
    <row r="424" spans="14:14" ht="15.75" hidden="1" customHeight="1" x14ac:dyDescent="0.25">
      <c r="N424" s="1"/>
    </row>
    <row r="425" spans="14:14" ht="15.75" hidden="1" customHeight="1" x14ac:dyDescent="0.25">
      <c r="N425" s="1"/>
    </row>
    <row r="426" spans="14:14" ht="15.75" hidden="1" customHeight="1" x14ac:dyDescent="0.25">
      <c r="N426" s="1"/>
    </row>
    <row r="427" spans="14:14" ht="15.75" hidden="1" customHeight="1" x14ac:dyDescent="0.25">
      <c r="N427" s="1"/>
    </row>
    <row r="428" spans="14:14" ht="15.75" hidden="1" customHeight="1" x14ac:dyDescent="0.25">
      <c r="N428" s="1"/>
    </row>
    <row r="429" spans="14:14" ht="15.75" hidden="1" customHeight="1" x14ac:dyDescent="0.25">
      <c r="N429" s="1"/>
    </row>
    <row r="430" spans="14:14" ht="15.75" hidden="1" customHeight="1" x14ac:dyDescent="0.25">
      <c r="N430" s="1"/>
    </row>
    <row r="431" spans="14:14" ht="15.75" hidden="1" customHeight="1" x14ac:dyDescent="0.25">
      <c r="N431" s="1"/>
    </row>
    <row r="432" spans="14:14" ht="15.75" hidden="1" customHeight="1" x14ac:dyDescent="0.25">
      <c r="N432" s="1"/>
    </row>
    <row r="433" spans="14:14" ht="15.75" hidden="1" customHeight="1" x14ac:dyDescent="0.25">
      <c r="N433" s="1"/>
    </row>
    <row r="434" spans="14:14" ht="15.75" hidden="1" customHeight="1" x14ac:dyDescent="0.25">
      <c r="N434" s="1"/>
    </row>
    <row r="435" spans="14:14" ht="15.75" hidden="1" customHeight="1" x14ac:dyDescent="0.25">
      <c r="N435" s="1"/>
    </row>
    <row r="436" spans="14:14" ht="15.75" hidden="1" customHeight="1" x14ac:dyDescent="0.25">
      <c r="N436" s="1"/>
    </row>
    <row r="437" spans="14:14" ht="15.75" hidden="1" customHeight="1" x14ac:dyDescent="0.25">
      <c r="N437" s="1"/>
    </row>
    <row r="438" spans="14:14" ht="15.75" hidden="1" customHeight="1" x14ac:dyDescent="0.25">
      <c r="N438" s="1"/>
    </row>
    <row r="439" spans="14:14" ht="15.75" hidden="1" customHeight="1" x14ac:dyDescent="0.25">
      <c r="N439" s="1"/>
    </row>
    <row r="440" spans="14:14" ht="15.75" hidden="1" customHeight="1" x14ac:dyDescent="0.25">
      <c r="N440" s="1"/>
    </row>
    <row r="441" spans="14:14" ht="15.75" hidden="1" customHeight="1" x14ac:dyDescent="0.25">
      <c r="N441" s="1"/>
    </row>
    <row r="442" spans="14:14" ht="15.75" hidden="1" customHeight="1" x14ac:dyDescent="0.25">
      <c r="N442" s="1"/>
    </row>
    <row r="443" spans="14:14" ht="15.75" hidden="1" customHeight="1" x14ac:dyDescent="0.25">
      <c r="N443" s="1"/>
    </row>
    <row r="444" spans="14:14" ht="15.75" hidden="1" customHeight="1" x14ac:dyDescent="0.25">
      <c r="N444" s="1"/>
    </row>
    <row r="445" spans="14:14" ht="15.75" hidden="1" customHeight="1" x14ac:dyDescent="0.25">
      <c r="N445" s="1"/>
    </row>
    <row r="446" spans="14:14" ht="15.75" hidden="1" customHeight="1" x14ac:dyDescent="0.25">
      <c r="N446" s="1"/>
    </row>
    <row r="447" spans="14:14" ht="15.75" hidden="1" customHeight="1" x14ac:dyDescent="0.25">
      <c r="N447" s="1"/>
    </row>
    <row r="448" spans="14:14" ht="15.75" hidden="1" customHeight="1" x14ac:dyDescent="0.25">
      <c r="N448" s="1"/>
    </row>
    <row r="449" spans="14:14" ht="15.75" hidden="1" customHeight="1" x14ac:dyDescent="0.25">
      <c r="N449" s="1"/>
    </row>
    <row r="450" spans="14:14" ht="15.75" hidden="1" customHeight="1" x14ac:dyDescent="0.25">
      <c r="N450" s="1"/>
    </row>
    <row r="451" spans="14:14" ht="15.75" hidden="1" customHeight="1" x14ac:dyDescent="0.25">
      <c r="N451" s="1"/>
    </row>
    <row r="452" spans="14:14" ht="15.75" hidden="1" customHeight="1" x14ac:dyDescent="0.25">
      <c r="N452" s="1"/>
    </row>
    <row r="453" spans="14:14" ht="15.75" hidden="1" customHeight="1" x14ac:dyDescent="0.25">
      <c r="N453" s="1"/>
    </row>
    <row r="454" spans="14:14" ht="15.75" hidden="1" customHeight="1" x14ac:dyDescent="0.25">
      <c r="N454" s="1"/>
    </row>
    <row r="455" spans="14:14" ht="15.75" hidden="1" customHeight="1" x14ac:dyDescent="0.25">
      <c r="N455" s="1"/>
    </row>
    <row r="456" spans="14:14" ht="15.75" hidden="1" customHeight="1" x14ac:dyDescent="0.25">
      <c r="N456" s="1"/>
    </row>
    <row r="457" spans="14:14" ht="15.75" hidden="1" customHeight="1" x14ac:dyDescent="0.25">
      <c r="N457" s="1"/>
    </row>
    <row r="458" spans="14:14" ht="15.75" hidden="1" customHeight="1" x14ac:dyDescent="0.25">
      <c r="N458" s="1"/>
    </row>
    <row r="459" spans="14:14" ht="15.75" hidden="1" customHeight="1" x14ac:dyDescent="0.25">
      <c r="N459" s="1"/>
    </row>
    <row r="460" spans="14:14" ht="15.75" hidden="1" customHeight="1" x14ac:dyDescent="0.25">
      <c r="N460" s="1"/>
    </row>
    <row r="461" spans="14:14" ht="15.75" hidden="1" customHeight="1" x14ac:dyDescent="0.25">
      <c r="N461" s="1"/>
    </row>
    <row r="462" spans="14:14" ht="15.75" hidden="1" customHeight="1" x14ac:dyDescent="0.25">
      <c r="N462" s="1"/>
    </row>
    <row r="463" spans="14:14" ht="15.75" hidden="1" customHeight="1" x14ac:dyDescent="0.25">
      <c r="N463" s="1"/>
    </row>
    <row r="464" spans="14:14" ht="15.75" hidden="1" customHeight="1" x14ac:dyDescent="0.25">
      <c r="N464" s="1"/>
    </row>
    <row r="465" spans="14:14" ht="15.75" hidden="1" customHeight="1" x14ac:dyDescent="0.25">
      <c r="N465" s="1"/>
    </row>
    <row r="466" spans="14:14" ht="15.75" hidden="1" customHeight="1" x14ac:dyDescent="0.25">
      <c r="N466" s="1"/>
    </row>
    <row r="467" spans="14:14" ht="15.75" hidden="1" customHeight="1" x14ac:dyDescent="0.25">
      <c r="N467" s="1"/>
    </row>
    <row r="468" spans="14:14" ht="15.75" hidden="1" customHeight="1" x14ac:dyDescent="0.25">
      <c r="N468" s="1"/>
    </row>
    <row r="469" spans="14:14" ht="15.75" hidden="1" customHeight="1" x14ac:dyDescent="0.25">
      <c r="N469" s="1"/>
    </row>
    <row r="470" spans="14:14" ht="15.75" hidden="1" customHeight="1" x14ac:dyDescent="0.25">
      <c r="N470" s="1"/>
    </row>
    <row r="471" spans="14:14" ht="15.75" hidden="1" customHeight="1" x14ac:dyDescent="0.25">
      <c r="N471" s="1"/>
    </row>
    <row r="472" spans="14:14" ht="15.75" hidden="1" customHeight="1" x14ac:dyDescent="0.25">
      <c r="N472" s="1"/>
    </row>
    <row r="473" spans="14:14" ht="15.75" hidden="1" customHeight="1" x14ac:dyDescent="0.25">
      <c r="N473" s="1"/>
    </row>
    <row r="474" spans="14:14" ht="15.75" hidden="1" customHeight="1" x14ac:dyDescent="0.25">
      <c r="N474" s="1"/>
    </row>
    <row r="475" spans="14:14" ht="15.75" hidden="1" customHeight="1" x14ac:dyDescent="0.25">
      <c r="N475" s="1"/>
    </row>
    <row r="476" spans="14:14" ht="15.75" hidden="1" customHeight="1" x14ac:dyDescent="0.25">
      <c r="N476" s="1"/>
    </row>
    <row r="477" spans="14:14" ht="15.75" hidden="1" customHeight="1" x14ac:dyDescent="0.25">
      <c r="N477" s="1"/>
    </row>
    <row r="478" spans="14:14" ht="15.75" hidden="1" customHeight="1" x14ac:dyDescent="0.25">
      <c r="N478" s="1"/>
    </row>
    <row r="479" spans="14:14" ht="15.75" hidden="1" customHeight="1" x14ac:dyDescent="0.25">
      <c r="N479" s="1"/>
    </row>
    <row r="480" spans="14:14" ht="15.75" hidden="1" customHeight="1" x14ac:dyDescent="0.25">
      <c r="N480" s="1"/>
    </row>
    <row r="481" spans="14:14" ht="15.75" hidden="1" customHeight="1" x14ac:dyDescent="0.25">
      <c r="N481" s="1"/>
    </row>
    <row r="482" spans="14:14" ht="15.75" hidden="1" customHeight="1" x14ac:dyDescent="0.25">
      <c r="N482" s="1"/>
    </row>
    <row r="483" spans="14:14" ht="15.75" hidden="1" customHeight="1" x14ac:dyDescent="0.25">
      <c r="N483" s="1"/>
    </row>
    <row r="484" spans="14:14" ht="15.75" hidden="1" customHeight="1" x14ac:dyDescent="0.25">
      <c r="N484" s="1"/>
    </row>
    <row r="485" spans="14:14" ht="15.75" hidden="1" customHeight="1" x14ac:dyDescent="0.25">
      <c r="N485" s="1"/>
    </row>
    <row r="486" spans="14:14" ht="15.75" hidden="1" customHeight="1" x14ac:dyDescent="0.25">
      <c r="N486" s="1"/>
    </row>
    <row r="487" spans="14:14" ht="15.75" hidden="1" customHeight="1" x14ac:dyDescent="0.25">
      <c r="N487" s="1"/>
    </row>
    <row r="488" spans="14:14" ht="15.75" hidden="1" customHeight="1" x14ac:dyDescent="0.25">
      <c r="N488" s="1"/>
    </row>
    <row r="489" spans="14:14" ht="15.75" hidden="1" customHeight="1" x14ac:dyDescent="0.25">
      <c r="N489" s="1"/>
    </row>
    <row r="490" spans="14:14" ht="15.75" hidden="1" customHeight="1" x14ac:dyDescent="0.25">
      <c r="N490" s="1"/>
    </row>
    <row r="491" spans="14:14" ht="15.75" hidden="1" customHeight="1" x14ac:dyDescent="0.25">
      <c r="N491" s="1"/>
    </row>
    <row r="492" spans="14:14" ht="15.75" hidden="1" customHeight="1" x14ac:dyDescent="0.25">
      <c r="N492" s="1"/>
    </row>
    <row r="493" spans="14:14" ht="15.75" hidden="1" customHeight="1" x14ac:dyDescent="0.25">
      <c r="N493" s="1"/>
    </row>
    <row r="494" spans="14:14" ht="15.75" hidden="1" customHeight="1" x14ac:dyDescent="0.25">
      <c r="N494" s="1"/>
    </row>
    <row r="495" spans="14:14" ht="15.75" hidden="1" customHeight="1" x14ac:dyDescent="0.25">
      <c r="N495" s="1"/>
    </row>
    <row r="496" spans="14:14" ht="15.75" hidden="1" customHeight="1" x14ac:dyDescent="0.25">
      <c r="N496" s="1"/>
    </row>
    <row r="497" spans="14:14" ht="15.75" hidden="1" customHeight="1" x14ac:dyDescent="0.25">
      <c r="N497" s="1"/>
    </row>
    <row r="498" spans="14:14" ht="15.75" hidden="1" customHeight="1" x14ac:dyDescent="0.25">
      <c r="N498" s="1"/>
    </row>
    <row r="499" spans="14:14" ht="15.75" hidden="1" customHeight="1" x14ac:dyDescent="0.25">
      <c r="N499" s="1"/>
    </row>
    <row r="500" spans="14:14" ht="15.75" hidden="1" customHeight="1" x14ac:dyDescent="0.25">
      <c r="N500" s="1"/>
    </row>
    <row r="501" spans="14:14" ht="15.75" hidden="1" customHeight="1" x14ac:dyDescent="0.25">
      <c r="N501" s="1"/>
    </row>
    <row r="502" spans="14:14" ht="15.75" hidden="1" customHeight="1" x14ac:dyDescent="0.25">
      <c r="N502" s="1"/>
    </row>
    <row r="503" spans="14:14" ht="15.75" hidden="1" customHeight="1" x14ac:dyDescent="0.25">
      <c r="N503" s="1"/>
    </row>
    <row r="504" spans="14:14" ht="15.75" hidden="1" customHeight="1" x14ac:dyDescent="0.25">
      <c r="N504" s="1"/>
    </row>
    <row r="505" spans="14:14" ht="15.75" hidden="1" customHeight="1" x14ac:dyDescent="0.25">
      <c r="N505" s="1"/>
    </row>
    <row r="506" spans="14:14" ht="15.75" hidden="1" customHeight="1" x14ac:dyDescent="0.25">
      <c r="N506" s="1"/>
    </row>
    <row r="507" spans="14:14" ht="15.75" hidden="1" customHeight="1" x14ac:dyDescent="0.25">
      <c r="N507" s="1"/>
    </row>
    <row r="508" spans="14:14" ht="15.75" hidden="1" customHeight="1" x14ac:dyDescent="0.25">
      <c r="N508" s="1"/>
    </row>
    <row r="509" spans="14:14" ht="15.75" hidden="1" customHeight="1" x14ac:dyDescent="0.25">
      <c r="N509" s="1"/>
    </row>
    <row r="510" spans="14:14" ht="15.75" hidden="1" customHeight="1" x14ac:dyDescent="0.25">
      <c r="N510" s="1"/>
    </row>
    <row r="511" spans="14:14" ht="15.75" hidden="1" customHeight="1" x14ac:dyDescent="0.25">
      <c r="N511" s="1"/>
    </row>
    <row r="512" spans="14:14" ht="15.75" hidden="1" customHeight="1" x14ac:dyDescent="0.25">
      <c r="N512" s="1"/>
    </row>
    <row r="513" spans="14:14" ht="15.75" hidden="1" customHeight="1" x14ac:dyDescent="0.25">
      <c r="N513" s="1"/>
    </row>
    <row r="514" spans="14:14" ht="15.75" hidden="1" customHeight="1" x14ac:dyDescent="0.25">
      <c r="N514" s="1"/>
    </row>
    <row r="515" spans="14:14" ht="15.75" hidden="1" customHeight="1" x14ac:dyDescent="0.25">
      <c r="N515" s="1"/>
    </row>
    <row r="516" spans="14:14" ht="15.75" hidden="1" customHeight="1" x14ac:dyDescent="0.25">
      <c r="N516" s="1"/>
    </row>
    <row r="517" spans="14:14" ht="15.75" hidden="1" customHeight="1" x14ac:dyDescent="0.25">
      <c r="N517" s="1"/>
    </row>
    <row r="518" spans="14:14" ht="15.75" hidden="1" customHeight="1" x14ac:dyDescent="0.25">
      <c r="N518" s="1"/>
    </row>
    <row r="519" spans="14:14" ht="15.75" hidden="1" customHeight="1" x14ac:dyDescent="0.25">
      <c r="N519" s="1"/>
    </row>
    <row r="520" spans="14:14" ht="15.75" hidden="1" customHeight="1" x14ac:dyDescent="0.25">
      <c r="N520" s="1"/>
    </row>
    <row r="521" spans="14:14" ht="15.75" hidden="1" customHeight="1" x14ac:dyDescent="0.25">
      <c r="N521" s="1"/>
    </row>
    <row r="522" spans="14:14" ht="15.75" hidden="1" customHeight="1" x14ac:dyDescent="0.25">
      <c r="N522" s="1"/>
    </row>
    <row r="523" spans="14:14" ht="15.75" hidden="1" customHeight="1" x14ac:dyDescent="0.25">
      <c r="N523" s="1"/>
    </row>
    <row r="524" spans="14:14" ht="15.75" hidden="1" customHeight="1" x14ac:dyDescent="0.25">
      <c r="N524" s="1"/>
    </row>
    <row r="525" spans="14:14" ht="15.75" hidden="1" customHeight="1" x14ac:dyDescent="0.25">
      <c r="N525" s="1"/>
    </row>
    <row r="526" spans="14:14" ht="15.75" hidden="1" customHeight="1" x14ac:dyDescent="0.25">
      <c r="N526" s="1"/>
    </row>
    <row r="527" spans="14:14" ht="15.75" hidden="1" customHeight="1" x14ac:dyDescent="0.25">
      <c r="N527" s="1"/>
    </row>
    <row r="528" spans="14:14" ht="15.75" hidden="1" customHeight="1" x14ac:dyDescent="0.25">
      <c r="N528" s="1"/>
    </row>
    <row r="529" spans="14:14" ht="15.75" hidden="1" customHeight="1" x14ac:dyDescent="0.25">
      <c r="N529" s="1"/>
    </row>
    <row r="530" spans="14:14" ht="15.75" hidden="1" customHeight="1" x14ac:dyDescent="0.25">
      <c r="N530" s="1"/>
    </row>
    <row r="531" spans="14:14" ht="15.75" hidden="1" customHeight="1" x14ac:dyDescent="0.25">
      <c r="N531" s="1"/>
    </row>
    <row r="532" spans="14:14" ht="15.75" hidden="1" customHeight="1" x14ac:dyDescent="0.25">
      <c r="N532" s="1"/>
    </row>
    <row r="533" spans="14:14" ht="15.75" hidden="1" customHeight="1" x14ac:dyDescent="0.25">
      <c r="N533" s="1"/>
    </row>
    <row r="534" spans="14:14" ht="15.75" hidden="1" customHeight="1" x14ac:dyDescent="0.25">
      <c r="N534" s="1"/>
    </row>
    <row r="535" spans="14:14" ht="15.75" hidden="1" customHeight="1" x14ac:dyDescent="0.25">
      <c r="N535" s="1"/>
    </row>
    <row r="536" spans="14:14" ht="15.75" hidden="1" customHeight="1" x14ac:dyDescent="0.25">
      <c r="N536" s="1"/>
    </row>
    <row r="537" spans="14:14" ht="15.75" hidden="1" customHeight="1" x14ac:dyDescent="0.25">
      <c r="N537" s="1"/>
    </row>
    <row r="538" spans="14:14" ht="15.75" hidden="1" customHeight="1" x14ac:dyDescent="0.25">
      <c r="N538" s="1"/>
    </row>
    <row r="539" spans="14:14" ht="15.75" hidden="1" customHeight="1" x14ac:dyDescent="0.25">
      <c r="N539" s="1"/>
    </row>
    <row r="540" spans="14:14" ht="15.75" hidden="1" customHeight="1" x14ac:dyDescent="0.25">
      <c r="N540" s="1"/>
    </row>
    <row r="541" spans="14:14" ht="15.75" hidden="1" customHeight="1" x14ac:dyDescent="0.25">
      <c r="N541" s="1"/>
    </row>
    <row r="542" spans="14:14" ht="15.75" hidden="1" customHeight="1" x14ac:dyDescent="0.25">
      <c r="N542" s="1"/>
    </row>
    <row r="543" spans="14:14" ht="15.75" hidden="1" customHeight="1" x14ac:dyDescent="0.25">
      <c r="N543" s="1"/>
    </row>
    <row r="544" spans="14:14" ht="15.75" hidden="1" customHeight="1" x14ac:dyDescent="0.25">
      <c r="N544" s="1"/>
    </row>
    <row r="545" spans="14:14" ht="15.75" hidden="1" customHeight="1" x14ac:dyDescent="0.25">
      <c r="N545" s="1"/>
    </row>
    <row r="546" spans="14:14" ht="15.75" hidden="1" customHeight="1" x14ac:dyDescent="0.25">
      <c r="N546" s="1"/>
    </row>
    <row r="547" spans="14:14" ht="15.75" hidden="1" customHeight="1" x14ac:dyDescent="0.25">
      <c r="N547" s="1"/>
    </row>
    <row r="548" spans="14:14" ht="15.75" hidden="1" customHeight="1" x14ac:dyDescent="0.25">
      <c r="N548" s="1"/>
    </row>
    <row r="549" spans="14:14" ht="15.75" hidden="1" customHeight="1" x14ac:dyDescent="0.25">
      <c r="N549" s="1"/>
    </row>
    <row r="550" spans="14:14" ht="15.75" hidden="1" customHeight="1" x14ac:dyDescent="0.25">
      <c r="N550" s="1"/>
    </row>
    <row r="551" spans="14:14" ht="15.75" hidden="1" customHeight="1" x14ac:dyDescent="0.25">
      <c r="N551" s="1"/>
    </row>
    <row r="552" spans="14:14" ht="15.75" hidden="1" customHeight="1" x14ac:dyDescent="0.25">
      <c r="N552" s="1"/>
    </row>
    <row r="553" spans="14:14" ht="15.75" hidden="1" customHeight="1" x14ac:dyDescent="0.25">
      <c r="N553" s="1"/>
    </row>
    <row r="554" spans="14:14" ht="15.75" hidden="1" customHeight="1" x14ac:dyDescent="0.25">
      <c r="N554" s="1"/>
    </row>
    <row r="555" spans="14:14" ht="15.75" hidden="1" customHeight="1" x14ac:dyDescent="0.25">
      <c r="N555" s="1"/>
    </row>
    <row r="556" spans="14:14" ht="15.75" hidden="1" customHeight="1" x14ac:dyDescent="0.25">
      <c r="N556" s="1"/>
    </row>
    <row r="557" spans="14:14" ht="15.75" hidden="1" customHeight="1" x14ac:dyDescent="0.25">
      <c r="N557" s="1"/>
    </row>
    <row r="558" spans="14:14" ht="15.75" hidden="1" customHeight="1" x14ac:dyDescent="0.25">
      <c r="N558" s="1"/>
    </row>
    <row r="559" spans="14:14" ht="15.75" hidden="1" customHeight="1" x14ac:dyDescent="0.25">
      <c r="N559" s="1"/>
    </row>
    <row r="560" spans="14:14" ht="15.75" hidden="1" customHeight="1" x14ac:dyDescent="0.25">
      <c r="N560" s="1"/>
    </row>
    <row r="561" spans="14:14" ht="15.75" hidden="1" customHeight="1" x14ac:dyDescent="0.25">
      <c r="N561" s="1"/>
    </row>
    <row r="562" spans="14:14" ht="15.75" hidden="1" customHeight="1" x14ac:dyDescent="0.25">
      <c r="N562" s="1"/>
    </row>
    <row r="563" spans="14:14" ht="15.75" hidden="1" customHeight="1" x14ac:dyDescent="0.25">
      <c r="N563" s="1"/>
    </row>
    <row r="564" spans="14:14" ht="15.75" hidden="1" customHeight="1" x14ac:dyDescent="0.25">
      <c r="N564" s="1"/>
    </row>
    <row r="565" spans="14:14" ht="15.75" hidden="1" customHeight="1" x14ac:dyDescent="0.25">
      <c r="N565" s="1"/>
    </row>
    <row r="566" spans="14:14" ht="15.75" hidden="1" customHeight="1" x14ac:dyDescent="0.25">
      <c r="N566" s="1"/>
    </row>
    <row r="567" spans="14:14" ht="15.75" hidden="1" customHeight="1" x14ac:dyDescent="0.25">
      <c r="N567" s="1"/>
    </row>
    <row r="568" spans="14:14" ht="15.75" hidden="1" customHeight="1" x14ac:dyDescent="0.25">
      <c r="N568" s="1"/>
    </row>
    <row r="569" spans="14:14" ht="15.75" hidden="1" customHeight="1" x14ac:dyDescent="0.25">
      <c r="N569" s="1"/>
    </row>
    <row r="570" spans="14:14" ht="15.75" hidden="1" customHeight="1" x14ac:dyDescent="0.25">
      <c r="N570" s="1"/>
    </row>
    <row r="571" spans="14:14" ht="15.75" hidden="1" customHeight="1" x14ac:dyDescent="0.25">
      <c r="N571" s="1"/>
    </row>
    <row r="572" spans="14:14" ht="15.75" hidden="1" customHeight="1" x14ac:dyDescent="0.25">
      <c r="N572" s="1"/>
    </row>
    <row r="573" spans="14:14" ht="15.75" hidden="1" customHeight="1" x14ac:dyDescent="0.25">
      <c r="N573" s="1"/>
    </row>
    <row r="574" spans="14:14" ht="15.75" hidden="1" customHeight="1" x14ac:dyDescent="0.25">
      <c r="N574" s="1"/>
    </row>
    <row r="575" spans="14:14" ht="15.75" hidden="1" customHeight="1" x14ac:dyDescent="0.25">
      <c r="N575" s="1"/>
    </row>
    <row r="576" spans="14:14" ht="15.75" hidden="1" customHeight="1" x14ac:dyDescent="0.25">
      <c r="N576" s="1"/>
    </row>
    <row r="577" spans="14:14" ht="15.75" hidden="1" customHeight="1" x14ac:dyDescent="0.25">
      <c r="N577" s="1"/>
    </row>
    <row r="578" spans="14:14" ht="15.75" hidden="1" customHeight="1" x14ac:dyDescent="0.25">
      <c r="N578" s="1"/>
    </row>
    <row r="579" spans="14:14" ht="15.75" hidden="1" customHeight="1" x14ac:dyDescent="0.25">
      <c r="N579" s="1"/>
    </row>
    <row r="580" spans="14:14" ht="15.75" hidden="1" customHeight="1" x14ac:dyDescent="0.25">
      <c r="N580" s="1"/>
    </row>
    <row r="581" spans="14:14" ht="15.75" hidden="1" customHeight="1" x14ac:dyDescent="0.25">
      <c r="N581" s="1"/>
    </row>
    <row r="582" spans="14:14" ht="15.75" hidden="1" customHeight="1" x14ac:dyDescent="0.25">
      <c r="N582" s="1"/>
    </row>
    <row r="583" spans="14:14" ht="15.75" hidden="1" customHeight="1" x14ac:dyDescent="0.25">
      <c r="N583" s="1"/>
    </row>
    <row r="584" spans="14:14" ht="15.75" hidden="1" customHeight="1" x14ac:dyDescent="0.25">
      <c r="N584" s="1"/>
    </row>
    <row r="585" spans="14:14" ht="15.75" hidden="1" customHeight="1" x14ac:dyDescent="0.25">
      <c r="N585" s="1"/>
    </row>
    <row r="586" spans="14:14" ht="15.75" hidden="1" customHeight="1" x14ac:dyDescent="0.25">
      <c r="N586" s="1"/>
    </row>
    <row r="587" spans="14:14" ht="15.75" hidden="1" customHeight="1" x14ac:dyDescent="0.25">
      <c r="N587" s="1"/>
    </row>
    <row r="588" spans="14:14" ht="15.75" hidden="1" customHeight="1" x14ac:dyDescent="0.25">
      <c r="N588" s="1"/>
    </row>
    <row r="589" spans="14:14" ht="15.75" hidden="1" customHeight="1" x14ac:dyDescent="0.25">
      <c r="N589" s="1"/>
    </row>
    <row r="590" spans="14:14" ht="15.75" hidden="1" customHeight="1" x14ac:dyDescent="0.25">
      <c r="N590" s="1"/>
    </row>
    <row r="591" spans="14:14" ht="15.75" hidden="1" customHeight="1" x14ac:dyDescent="0.25">
      <c r="N591" s="1"/>
    </row>
    <row r="592" spans="14:14" ht="15.75" hidden="1" customHeight="1" x14ac:dyDescent="0.25">
      <c r="N592" s="1"/>
    </row>
    <row r="593" spans="14:14" ht="15.75" hidden="1" customHeight="1" x14ac:dyDescent="0.25">
      <c r="N593" s="1"/>
    </row>
    <row r="594" spans="14:14" ht="15.75" hidden="1" customHeight="1" x14ac:dyDescent="0.25">
      <c r="N594" s="1"/>
    </row>
    <row r="595" spans="14:14" ht="15.75" hidden="1" customHeight="1" x14ac:dyDescent="0.25">
      <c r="N595" s="1"/>
    </row>
    <row r="596" spans="14:14" ht="15.75" hidden="1" customHeight="1" x14ac:dyDescent="0.25">
      <c r="N596" s="1"/>
    </row>
    <row r="597" spans="14:14" ht="15.75" hidden="1" customHeight="1" x14ac:dyDescent="0.25">
      <c r="N597" s="1"/>
    </row>
    <row r="598" spans="14:14" ht="15.75" hidden="1" customHeight="1" x14ac:dyDescent="0.25">
      <c r="N598" s="1"/>
    </row>
    <row r="599" spans="14:14" ht="15.75" hidden="1" customHeight="1" x14ac:dyDescent="0.25">
      <c r="N599" s="1"/>
    </row>
    <row r="600" spans="14:14" ht="15.75" hidden="1" customHeight="1" x14ac:dyDescent="0.25">
      <c r="N600" s="1"/>
    </row>
    <row r="601" spans="14:14" ht="15.75" hidden="1" customHeight="1" x14ac:dyDescent="0.25">
      <c r="N601" s="1"/>
    </row>
    <row r="602" spans="14:14" ht="15.75" hidden="1" customHeight="1" x14ac:dyDescent="0.25">
      <c r="N602" s="1"/>
    </row>
    <row r="603" spans="14:14" ht="15.75" hidden="1" customHeight="1" x14ac:dyDescent="0.25">
      <c r="N603" s="1"/>
    </row>
    <row r="604" spans="14:14" ht="15.75" hidden="1" customHeight="1" x14ac:dyDescent="0.25">
      <c r="N604" s="1"/>
    </row>
    <row r="605" spans="14:14" ht="15.75" hidden="1" customHeight="1" x14ac:dyDescent="0.25">
      <c r="N605" s="1"/>
    </row>
    <row r="606" spans="14:14" ht="15.75" hidden="1" customHeight="1" x14ac:dyDescent="0.25">
      <c r="N606" s="1"/>
    </row>
    <row r="607" spans="14:14" ht="15.75" hidden="1" customHeight="1" x14ac:dyDescent="0.25">
      <c r="N607" s="1"/>
    </row>
    <row r="608" spans="14:14" ht="15.75" hidden="1" customHeight="1" x14ac:dyDescent="0.25">
      <c r="N608" s="1"/>
    </row>
    <row r="609" spans="14:14" ht="15.75" hidden="1" customHeight="1" x14ac:dyDescent="0.25">
      <c r="N609" s="1"/>
    </row>
    <row r="610" spans="14:14" ht="15.75" hidden="1" customHeight="1" x14ac:dyDescent="0.25">
      <c r="N610" s="1"/>
    </row>
    <row r="611" spans="14:14" ht="15.75" hidden="1" customHeight="1" x14ac:dyDescent="0.25">
      <c r="N611" s="1"/>
    </row>
    <row r="612" spans="14:14" ht="15.75" hidden="1" customHeight="1" x14ac:dyDescent="0.25">
      <c r="N612" s="1"/>
    </row>
    <row r="613" spans="14:14" ht="15.75" hidden="1" customHeight="1" x14ac:dyDescent="0.25">
      <c r="N613" s="1"/>
    </row>
    <row r="614" spans="14:14" ht="15.75" hidden="1" customHeight="1" x14ac:dyDescent="0.25">
      <c r="N614" s="1"/>
    </row>
    <row r="615" spans="14:14" ht="15.75" hidden="1" customHeight="1" x14ac:dyDescent="0.25">
      <c r="N615" s="1"/>
    </row>
    <row r="616" spans="14:14" ht="15.75" hidden="1" customHeight="1" x14ac:dyDescent="0.25">
      <c r="N616" s="1"/>
    </row>
    <row r="617" spans="14:14" ht="15.75" hidden="1" customHeight="1" x14ac:dyDescent="0.25">
      <c r="N617" s="1"/>
    </row>
    <row r="618" spans="14:14" ht="15.75" hidden="1" customHeight="1" x14ac:dyDescent="0.25">
      <c r="N618" s="1"/>
    </row>
    <row r="619" spans="14:14" ht="15.75" hidden="1" customHeight="1" x14ac:dyDescent="0.25">
      <c r="N619" s="1"/>
    </row>
    <row r="620" spans="14:14" ht="15.75" hidden="1" customHeight="1" x14ac:dyDescent="0.25">
      <c r="N620" s="1"/>
    </row>
    <row r="621" spans="14:14" ht="15.75" hidden="1" customHeight="1" x14ac:dyDescent="0.25">
      <c r="N621" s="1"/>
    </row>
    <row r="622" spans="14:14" ht="15.75" hidden="1" customHeight="1" x14ac:dyDescent="0.25">
      <c r="N622" s="1"/>
    </row>
    <row r="623" spans="14:14" ht="15.75" hidden="1" customHeight="1" x14ac:dyDescent="0.25">
      <c r="N623" s="1"/>
    </row>
    <row r="624" spans="14:14" ht="15.75" hidden="1" customHeight="1" x14ac:dyDescent="0.25">
      <c r="N624" s="1"/>
    </row>
    <row r="625" spans="14:14" ht="15.75" hidden="1" customHeight="1" x14ac:dyDescent="0.25">
      <c r="N625" s="1"/>
    </row>
    <row r="626" spans="14:14" ht="15.75" hidden="1" customHeight="1" x14ac:dyDescent="0.25">
      <c r="N626" s="1"/>
    </row>
    <row r="627" spans="14:14" ht="15.75" hidden="1" customHeight="1" x14ac:dyDescent="0.25">
      <c r="N627" s="1"/>
    </row>
    <row r="628" spans="14:14" ht="15.75" hidden="1" customHeight="1" x14ac:dyDescent="0.25">
      <c r="N628" s="1"/>
    </row>
    <row r="629" spans="14:14" ht="15.75" hidden="1" customHeight="1" x14ac:dyDescent="0.25">
      <c r="N629" s="1"/>
    </row>
    <row r="630" spans="14:14" ht="15.75" hidden="1" customHeight="1" x14ac:dyDescent="0.25">
      <c r="N630" s="1"/>
    </row>
    <row r="631" spans="14:14" ht="15.75" hidden="1" customHeight="1" x14ac:dyDescent="0.25">
      <c r="N631" s="1"/>
    </row>
    <row r="632" spans="14:14" ht="15.75" hidden="1" customHeight="1" x14ac:dyDescent="0.25">
      <c r="N632" s="1"/>
    </row>
    <row r="633" spans="14:14" ht="15.75" hidden="1" customHeight="1" x14ac:dyDescent="0.25">
      <c r="N633" s="1"/>
    </row>
    <row r="634" spans="14:14" ht="15.75" hidden="1" customHeight="1" x14ac:dyDescent="0.25">
      <c r="N634" s="1"/>
    </row>
    <row r="635" spans="14:14" ht="15.75" hidden="1" customHeight="1" x14ac:dyDescent="0.25">
      <c r="N635" s="1"/>
    </row>
    <row r="636" spans="14:14" ht="15.75" hidden="1" customHeight="1" x14ac:dyDescent="0.25">
      <c r="N636" s="1"/>
    </row>
    <row r="637" spans="14:14" ht="15.75" hidden="1" customHeight="1" x14ac:dyDescent="0.25">
      <c r="N637" s="1"/>
    </row>
    <row r="638" spans="14:14" ht="15.75" hidden="1" customHeight="1" x14ac:dyDescent="0.25">
      <c r="N638" s="1"/>
    </row>
    <row r="639" spans="14:14" ht="15.75" hidden="1" customHeight="1" x14ac:dyDescent="0.25">
      <c r="N639" s="1"/>
    </row>
    <row r="640" spans="14:14" ht="15.75" hidden="1" customHeight="1" x14ac:dyDescent="0.25">
      <c r="N640" s="1"/>
    </row>
    <row r="641" spans="14:14" ht="15.75" hidden="1" customHeight="1" x14ac:dyDescent="0.25">
      <c r="N641" s="1"/>
    </row>
    <row r="642" spans="14:14" ht="15.75" hidden="1" customHeight="1" x14ac:dyDescent="0.25">
      <c r="N642" s="1"/>
    </row>
    <row r="643" spans="14:14" ht="15.75" hidden="1" customHeight="1" x14ac:dyDescent="0.25">
      <c r="N643" s="1"/>
    </row>
    <row r="644" spans="14:14" ht="15.75" hidden="1" customHeight="1" x14ac:dyDescent="0.25">
      <c r="N644" s="1"/>
    </row>
    <row r="645" spans="14:14" ht="15.75" hidden="1" customHeight="1" x14ac:dyDescent="0.25">
      <c r="N645" s="1"/>
    </row>
    <row r="646" spans="14:14" ht="15.75" hidden="1" customHeight="1" x14ac:dyDescent="0.25">
      <c r="N646" s="1"/>
    </row>
    <row r="647" spans="14:14" ht="15.75" hidden="1" customHeight="1" x14ac:dyDescent="0.25">
      <c r="N647" s="1"/>
    </row>
    <row r="648" spans="14:14" ht="15.75" hidden="1" customHeight="1" x14ac:dyDescent="0.25">
      <c r="N648" s="1"/>
    </row>
    <row r="649" spans="14:14" ht="15.75" hidden="1" customHeight="1" x14ac:dyDescent="0.25">
      <c r="N649" s="1"/>
    </row>
    <row r="650" spans="14:14" ht="15.75" hidden="1" customHeight="1" x14ac:dyDescent="0.25">
      <c r="N650" s="1"/>
    </row>
    <row r="651" spans="14:14" ht="15.75" hidden="1" customHeight="1" x14ac:dyDescent="0.25">
      <c r="N651" s="1"/>
    </row>
    <row r="652" spans="14:14" ht="15.75" hidden="1" customHeight="1" x14ac:dyDescent="0.25">
      <c r="N652" s="1"/>
    </row>
    <row r="653" spans="14:14" ht="15.75" hidden="1" customHeight="1" x14ac:dyDescent="0.25">
      <c r="N653" s="1"/>
    </row>
    <row r="654" spans="14:14" ht="15.75" hidden="1" customHeight="1" x14ac:dyDescent="0.25">
      <c r="N654" s="1"/>
    </row>
    <row r="655" spans="14:14" ht="15.75" hidden="1" customHeight="1" x14ac:dyDescent="0.25">
      <c r="N655" s="1"/>
    </row>
    <row r="656" spans="14:14" ht="15.75" hidden="1" customHeight="1" x14ac:dyDescent="0.25">
      <c r="N656" s="1"/>
    </row>
    <row r="657" spans="14:14" ht="15.75" hidden="1" customHeight="1" x14ac:dyDescent="0.25">
      <c r="N657" s="1"/>
    </row>
    <row r="658" spans="14:14" ht="15.75" hidden="1" customHeight="1" x14ac:dyDescent="0.25">
      <c r="N658" s="1"/>
    </row>
    <row r="659" spans="14:14" ht="15.75" hidden="1" customHeight="1" x14ac:dyDescent="0.25">
      <c r="N659" s="1"/>
    </row>
    <row r="660" spans="14:14" ht="15.75" hidden="1" customHeight="1" x14ac:dyDescent="0.25">
      <c r="N660" s="1"/>
    </row>
    <row r="661" spans="14:14" ht="15.75" hidden="1" customHeight="1" x14ac:dyDescent="0.25">
      <c r="N661" s="1"/>
    </row>
    <row r="662" spans="14:14" ht="15.75" hidden="1" customHeight="1" x14ac:dyDescent="0.25">
      <c r="N662" s="1"/>
    </row>
    <row r="663" spans="14:14" ht="15.75" hidden="1" customHeight="1" x14ac:dyDescent="0.25">
      <c r="N663" s="1"/>
    </row>
    <row r="664" spans="14:14" ht="15.75" hidden="1" customHeight="1" x14ac:dyDescent="0.25">
      <c r="N664" s="1"/>
    </row>
    <row r="665" spans="14:14" ht="15.75" hidden="1" customHeight="1" x14ac:dyDescent="0.25">
      <c r="N665" s="1"/>
    </row>
    <row r="666" spans="14:14" ht="15.75" hidden="1" customHeight="1" x14ac:dyDescent="0.25">
      <c r="N666" s="1"/>
    </row>
    <row r="667" spans="14:14" ht="15.75" hidden="1" customHeight="1" x14ac:dyDescent="0.25">
      <c r="N667" s="1"/>
    </row>
    <row r="668" spans="14:14" ht="15.75" hidden="1" customHeight="1" x14ac:dyDescent="0.25">
      <c r="N668" s="1"/>
    </row>
    <row r="669" spans="14:14" ht="15.75" hidden="1" customHeight="1" x14ac:dyDescent="0.25">
      <c r="N669" s="1"/>
    </row>
    <row r="670" spans="14:14" ht="15.75" hidden="1" customHeight="1" x14ac:dyDescent="0.25">
      <c r="N670" s="1"/>
    </row>
    <row r="671" spans="14:14" ht="15.75" hidden="1" customHeight="1" x14ac:dyDescent="0.25">
      <c r="N671" s="1"/>
    </row>
    <row r="672" spans="14:14" ht="15.75" hidden="1" customHeight="1" x14ac:dyDescent="0.25">
      <c r="N672" s="1"/>
    </row>
    <row r="673" spans="14:14" ht="15.75" hidden="1" customHeight="1" x14ac:dyDescent="0.25">
      <c r="N673" s="1"/>
    </row>
    <row r="674" spans="14:14" ht="15.75" hidden="1" customHeight="1" x14ac:dyDescent="0.25">
      <c r="N674" s="1"/>
    </row>
    <row r="675" spans="14:14" ht="15.75" hidden="1" customHeight="1" x14ac:dyDescent="0.25">
      <c r="N675" s="1"/>
    </row>
    <row r="676" spans="14:14" ht="15.75" hidden="1" customHeight="1" x14ac:dyDescent="0.25">
      <c r="N676" s="1"/>
    </row>
    <row r="677" spans="14:14" ht="15.75" hidden="1" customHeight="1" x14ac:dyDescent="0.25">
      <c r="N677" s="1"/>
    </row>
    <row r="678" spans="14:14" ht="15.75" hidden="1" customHeight="1" x14ac:dyDescent="0.25">
      <c r="N678" s="1"/>
    </row>
    <row r="679" spans="14:14" ht="15.75" hidden="1" customHeight="1" x14ac:dyDescent="0.25">
      <c r="N679" s="1"/>
    </row>
    <row r="680" spans="14:14" ht="15.75" hidden="1" customHeight="1" x14ac:dyDescent="0.25">
      <c r="N680" s="1"/>
    </row>
    <row r="681" spans="14:14" ht="15.75" hidden="1" customHeight="1" x14ac:dyDescent="0.25">
      <c r="N681" s="1"/>
    </row>
    <row r="682" spans="14:14" ht="15.75" hidden="1" customHeight="1" x14ac:dyDescent="0.25">
      <c r="N682" s="1"/>
    </row>
    <row r="683" spans="14:14" ht="15.75" hidden="1" customHeight="1" x14ac:dyDescent="0.25">
      <c r="N683" s="1"/>
    </row>
    <row r="684" spans="14:14" ht="15.75" hidden="1" customHeight="1" x14ac:dyDescent="0.25">
      <c r="N684" s="1"/>
    </row>
    <row r="685" spans="14:14" ht="15.75" hidden="1" customHeight="1" x14ac:dyDescent="0.25">
      <c r="N685" s="1"/>
    </row>
    <row r="686" spans="14:14" ht="15.75" hidden="1" customHeight="1" x14ac:dyDescent="0.25">
      <c r="N686" s="1"/>
    </row>
    <row r="687" spans="14:14" ht="15.75" hidden="1" customHeight="1" x14ac:dyDescent="0.25">
      <c r="N687" s="1"/>
    </row>
    <row r="688" spans="14:14" ht="15.75" hidden="1" customHeight="1" x14ac:dyDescent="0.25">
      <c r="N688" s="1"/>
    </row>
    <row r="689" spans="14:14" ht="15.75" hidden="1" customHeight="1" x14ac:dyDescent="0.25">
      <c r="N689" s="1"/>
    </row>
    <row r="690" spans="14:14" ht="15.75" hidden="1" customHeight="1" x14ac:dyDescent="0.25">
      <c r="N690" s="1"/>
    </row>
    <row r="691" spans="14:14" ht="15.75" hidden="1" customHeight="1" x14ac:dyDescent="0.25">
      <c r="N691" s="1"/>
    </row>
    <row r="692" spans="14:14" ht="15.75" hidden="1" customHeight="1" x14ac:dyDescent="0.25">
      <c r="N692" s="1"/>
    </row>
    <row r="693" spans="14:14" ht="15.75" hidden="1" customHeight="1" x14ac:dyDescent="0.25">
      <c r="N693" s="1"/>
    </row>
    <row r="694" spans="14:14" ht="15.75" hidden="1" customHeight="1" x14ac:dyDescent="0.25">
      <c r="N694" s="1"/>
    </row>
    <row r="695" spans="14:14" ht="15.75" hidden="1" customHeight="1" x14ac:dyDescent="0.25">
      <c r="N695" s="1"/>
    </row>
    <row r="696" spans="14:14" ht="15.75" hidden="1" customHeight="1" x14ac:dyDescent="0.25">
      <c r="N696" s="1"/>
    </row>
    <row r="697" spans="14:14" ht="15.75" hidden="1" customHeight="1" x14ac:dyDescent="0.25">
      <c r="N697" s="1"/>
    </row>
    <row r="698" spans="14:14" ht="15.75" hidden="1" customHeight="1" x14ac:dyDescent="0.25">
      <c r="N698" s="1"/>
    </row>
    <row r="699" spans="14:14" ht="15.75" hidden="1" customHeight="1" x14ac:dyDescent="0.25">
      <c r="N699" s="1"/>
    </row>
    <row r="700" spans="14:14" ht="15.75" hidden="1" customHeight="1" x14ac:dyDescent="0.25">
      <c r="N700" s="1"/>
    </row>
    <row r="701" spans="14:14" ht="15.75" hidden="1" customHeight="1" x14ac:dyDescent="0.25">
      <c r="N701" s="1"/>
    </row>
    <row r="702" spans="14:14" ht="15.75" hidden="1" customHeight="1" x14ac:dyDescent="0.25">
      <c r="N702" s="1"/>
    </row>
    <row r="703" spans="14:14" ht="15.75" hidden="1" customHeight="1" x14ac:dyDescent="0.25">
      <c r="N703" s="1"/>
    </row>
    <row r="704" spans="14:14" ht="15.75" hidden="1" customHeight="1" x14ac:dyDescent="0.25">
      <c r="N704" s="1"/>
    </row>
    <row r="705" spans="14:14" ht="15.75" hidden="1" customHeight="1" x14ac:dyDescent="0.25">
      <c r="N705" s="1"/>
    </row>
    <row r="706" spans="14:14" ht="15.75" hidden="1" customHeight="1" x14ac:dyDescent="0.25">
      <c r="N706" s="1"/>
    </row>
    <row r="707" spans="14:14" ht="15.75" hidden="1" customHeight="1" x14ac:dyDescent="0.25">
      <c r="N707" s="1"/>
    </row>
    <row r="708" spans="14:14" ht="15.75" hidden="1" customHeight="1" x14ac:dyDescent="0.25">
      <c r="N708" s="1"/>
    </row>
    <row r="709" spans="14:14" ht="15.75" hidden="1" customHeight="1" x14ac:dyDescent="0.25">
      <c r="N709" s="1"/>
    </row>
    <row r="710" spans="14:14" ht="15.75" hidden="1" customHeight="1" x14ac:dyDescent="0.25">
      <c r="N710" s="1"/>
    </row>
    <row r="711" spans="14:14" ht="15.75" hidden="1" customHeight="1" x14ac:dyDescent="0.25">
      <c r="N711" s="1"/>
    </row>
    <row r="712" spans="14:14" ht="15.75" hidden="1" customHeight="1" x14ac:dyDescent="0.25">
      <c r="N712" s="1"/>
    </row>
    <row r="713" spans="14:14" ht="15.75" hidden="1" customHeight="1" x14ac:dyDescent="0.25">
      <c r="N713" s="1"/>
    </row>
    <row r="714" spans="14:14" ht="15.75" hidden="1" customHeight="1" x14ac:dyDescent="0.25">
      <c r="N714" s="1"/>
    </row>
    <row r="715" spans="14:14" ht="15.75" hidden="1" customHeight="1" x14ac:dyDescent="0.25">
      <c r="N715" s="1"/>
    </row>
    <row r="716" spans="14:14" ht="15.75" hidden="1" customHeight="1" x14ac:dyDescent="0.25">
      <c r="N716" s="1"/>
    </row>
    <row r="717" spans="14:14" ht="15.75" hidden="1" customHeight="1" x14ac:dyDescent="0.25">
      <c r="N717" s="1"/>
    </row>
    <row r="718" spans="14:14" ht="15.75" hidden="1" customHeight="1" x14ac:dyDescent="0.25">
      <c r="N718" s="1"/>
    </row>
    <row r="719" spans="14:14" ht="15.75" hidden="1" customHeight="1" x14ac:dyDescent="0.25">
      <c r="N719" s="1"/>
    </row>
    <row r="720" spans="14:14" ht="15.75" hidden="1" customHeight="1" x14ac:dyDescent="0.25">
      <c r="N720" s="1"/>
    </row>
    <row r="721" spans="14:14" ht="15.75" hidden="1" customHeight="1" x14ac:dyDescent="0.25">
      <c r="N721" s="1"/>
    </row>
    <row r="722" spans="14:14" ht="15.75" hidden="1" customHeight="1" x14ac:dyDescent="0.25">
      <c r="N722" s="1"/>
    </row>
    <row r="723" spans="14:14" ht="15.75" hidden="1" customHeight="1" x14ac:dyDescent="0.25">
      <c r="N723" s="1"/>
    </row>
    <row r="724" spans="14:14" ht="15.75" hidden="1" customHeight="1" x14ac:dyDescent="0.25">
      <c r="N724" s="1"/>
    </row>
    <row r="725" spans="14:14" ht="15.75" hidden="1" customHeight="1" x14ac:dyDescent="0.25">
      <c r="N725" s="1"/>
    </row>
    <row r="726" spans="14:14" ht="15.75" hidden="1" customHeight="1" x14ac:dyDescent="0.25">
      <c r="N726" s="1"/>
    </row>
    <row r="727" spans="14:14" ht="15.75" hidden="1" customHeight="1" x14ac:dyDescent="0.25">
      <c r="N727" s="1"/>
    </row>
    <row r="728" spans="14:14" ht="15.75" hidden="1" customHeight="1" x14ac:dyDescent="0.25">
      <c r="N728" s="1"/>
    </row>
    <row r="729" spans="14:14" ht="15.75" hidden="1" customHeight="1" x14ac:dyDescent="0.25">
      <c r="N729" s="1"/>
    </row>
    <row r="730" spans="14:14" ht="15.75" hidden="1" customHeight="1" x14ac:dyDescent="0.25">
      <c r="N730" s="1"/>
    </row>
    <row r="731" spans="14:14" ht="15.75" hidden="1" customHeight="1" x14ac:dyDescent="0.25">
      <c r="N731" s="1"/>
    </row>
    <row r="732" spans="14:14" ht="15.75" hidden="1" customHeight="1" x14ac:dyDescent="0.25">
      <c r="N732" s="1"/>
    </row>
    <row r="733" spans="14:14" ht="15.75" hidden="1" customHeight="1" x14ac:dyDescent="0.25">
      <c r="N733" s="1"/>
    </row>
    <row r="734" spans="14:14" ht="15.75" hidden="1" customHeight="1" x14ac:dyDescent="0.25">
      <c r="N734" s="1"/>
    </row>
    <row r="735" spans="14:14" ht="15.75" hidden="1" customHeight="1" x14ac:dyDescent="0.25">
      <c r="N735" s="1"/>
    </row>
    <row r="736" spans="14:14" ht="15.75" hidden="1" customHeight="1" x14ac:dyDescent="0.25">
      <c r="N736" s="1"/>
    </row>
    <row r="737" spans="14:14" ht="15.75" hidden="1" customHeight="1" x14ac:dyDescent="0.25">
      <c r="N737" s="1"/>
    </row>
    <row r="738" spans="14:14" ht="15.75" hidden="1" customHeight="1" x14ac:dyDescent="0.25">
      <c r="N738" s="1"/>
    </row>
    <row r="739" spans="14:14" ht="15.75" hidden="1" customHeight="1" x14ac:dyDescent="0.25">
      <c r="N739" s="1"/>
    </row>
    <row r="740" spans="14:14" ht="15.75" hidden="1" customHeight="1" x14ac:dyDescent="0.25">
      <c r="N740" s="1"/>
    </row>
    <row r="741" spans="14:14" ht="15.75" hidden="1" customHeight="1" x14ac:dyDescent="0.25">
      <c r="N741" s="1"/>
    </row>
    <row r="742" spans="14:14" ht="15.75" hidden="1" customHeight="1" x14ac:dyDescent="0.25">
      <c r="N742" s="1"/>
    </row>
    <row r="743" spans="14:14" ht="15.75" hidden="1" customHeight="1" x14ac:dyDescent="0.25">
      <c r="N743" s="1"/>
    </row>
    <row r="744" spans="14:14" ht="15.75" hidden="1" customHeight="1" x14ac:dyDescent="0.25">
      <c r="N744" s="1"/>
    </row>
    <row r="745" spans="14:14" ht="15.75" hidden="1" customHeight="1" x14ac:dyDescent="0.25">
      <c r="N745" s="1"/>
    </row>
    <row r="746" spans="14:14" ht="15.75" hidden="1" customHeight="1" x14ac:dyDescent="0.25">
      <c r="N746" s="1"/>
    </row>
    <row r="747" spans="14:14" ht="15.75" hidden="1" customHeight="1" x14ac:dyDescent="0.25">
      <c r="N747" s="1"/>
    </row>
    <row r="748" spans="14:14" ht="15.75" hidden="1" customHeight="1" x14ac:dyDescent="0.25">
      <c r="N748" s="1"/>
    </row>
    <row r="749" spans="14:14" ht="15.75" hidden="1" customHeight="1" x14ac:dyDescent="0.25">
      <c r="N749" s="1"/>
    </row>
    <row r="750" spans="14:14" ht="15.75" hidden="1" customHeight="1" x14ac:dyDescent="0.25">
      <c r="N750" s="1"/>
    </row>
    <row r="751" spans="14:14" ht="15.75" hidden="1" customHeight="1" x14ac:dyDescent="0.25">
      <c r="N751" s="1"/>
    </row>
    <row r="752" spans="14:14" ht="15.75" hidden="1" customHeight="1" x14ac:dyDescent="0.25">
      <c r="N752" s="1"/>
    </row>
    <row r="753" spans="14:14" ht="15.75" hidden="1" customHeight="1" x14ac:dyDescent="0.25">
      <c r="N753" s="1"/>
    </row>
    <row r="754" spans="14:14" ht="15.75" hidden="1" customHeight="1" x14ac:dyDescent="0.25">
      <c r="N754" s="1"/>
    </row>
    <row r="755" spans="14:14" ht="15.75" hidden="1" customHeight="1" x14ac:dyDescent="0.25">
      <c r="N755" s="1"/>
    </row>
    <row r="756" spans="14:14" ht="15.75" hidden="1" customHeight="1" x14ac:dyDescent="0.25">
      <c r="N756" s="1"/>
    </row>
    <row r="757" spans="14:14" ht="15.75" hidden="1" customHeight="1" x14ac:dyDescent="0.25">
      <c r="N757" s="1"/>
    </row>
    <row r="758" spans="14:14" ht="15.75" hidden="1" customHeight="1" x14ac:dyDescent="0.25">
      <c r="N758" s="1"/>
    </row>
    <row r="759" spans="14:14" ht="15.75" hidden="1" customHeight="1" x14ac:dyDescent="0.25">
      <c r="N759" s="1"/>
    </row>
    <row r="760" spans="14:14" ht="15.75" hidden="1" customHeight="1" x14ac:dyDescent="0.25">
      <c r="N760" s="1"/>
    </row>
    <row r="761" spans="14:14" ht="15.75" hidden="1" customHeight="1" x14ac:dyDescent="0.25">
      <c r="N761" s="1"/>
    </row>
    <row r="762" spans="14:14" ht="15.75" hidden="1" customHeight="1" x14ac:dyDescent="0.25">
      <c r="N762" s="1"/>
    </row>
    <row r="763" spans="14:14" ht="15.75" hidden="1" customHeight="1" x14ac:dyDescent="0.25">
      <c r="N763" s="1"/>
    </row>
    <row r="764" spans="14:14" ht="15.75" hidden="1" customHeight="1" x14ac:dyDescent="0.25">
      <c r="N764" s="1"/>
    </row>
    <row r="765" spans="14:14" ht="15.75" hidden="1" customHeight="1" x14ac:dyDescent="0.25">
      <c r="N765" s="1"/>
    </row>
    <row r="766" spans="14:14" ht="15.75" hidden="1" customHeight="1" x14ac:dyDescent="0.25">
      <c r="N766" s="1"/>
    </row>
    <row r="767" spans="14:14" ht="15.75" hidden="1" customHeight="1" x14ac:dyDescent="0.25">
      <c r="N767" s="1"/>
    </row>
    <row r="768" spans="14:14" ht="15.75" hidden="1" customHeight="1" x14ac:dyDescent="0.25">
      <c r="N768" s="1"/>
    </row>
    <row r="769" spans="14:14" ht="15.75" hidden="1" customHeight="1" x14ac:dyDescent="0.25">
      <c r="N769" s="1"/>
    </row>
    <row r="770" spans="14:14" ht="15.75" hidden="1" customHeight="1" x14ac:dyDescent="0.25">
      <c r="N770" s="1"/>
    </row>
    <row r="771" spans="14:14" ht="15.75" hidden="1" customHeight="1" x14ac:dyDescent="0.25">
      <c r="N771" s="1"/>
    </row>
    <row r="772" spans="14:14" ht="15.75" hidden="1" customHeight="1" x14ac:dyDescent="0.25">
      <c r="N772" s="1"/>
    </row>
    <row r="773" spans="14:14" ht="15.75" hidden="1" customHeight="1" x14ac:dyDescent="0.25">
      <c r="N773" s="1"/>
    </row>
    <row r="774" spans="14:14" ht="15.75" hidden="1" customHeight="1" x14ac:dyDescent="0.25">
      <c r="N774" s="1"/>
    </row>
    <row r="775" spans="14:14" ht="15.75" hidden="1" customHeight="1" x14ac:dyDescent="0.25">
      <c r="N775" s="1"/>
    </row>
    <row r="776" spans="14:14" ht="15.75" hidden="1" customHeight="1" x14ac:dyDescent="0.25">
      <c r="N776" s="1"/>
    </row>
    <row r="777" spans="14:14" ht="15.75" hidden="1" customHeight="1" x14ac:dyDescent="0.25">
      <c r="N777" s="1"/>
    </row>
    <row r="778" spans="14:14" ht="15.75" hidden="1" customHeight="1" x14ac:dyDescent="0.25">
      <c r="N778" s="1"/>
    </row>
    <row r="779" spans="14:14" ht="15.75" hidden="1" customHeight="1" x14ac:dyDescent="0.25">
      <c r="N779" s="1"/>
    </row>
    <row r="780" spans="14:14" ht="15.75" hidden="1" customHeight="1" x14ac:dyDescent="0.25">
      <c r="N780" s="1"/>
    </row>
    <row r="781" spans="14:14" ht="15.75" hidden="1" customHeight="1" x14ac:dyDescent="0.25">
      <c r="N781" s="1"/>
    </row>
    <row r="782" spans="14:14" ht="15.75" hidden="1" customHeight="1" x14ac:dyDescent="0.25">
      <c r="N782" s="1"/>
    </row>
    <row r="783" spans="14:14" ht="15.75" hidden="1" customHeight="1" x14ac:dyDescent="0.25">
      <c r="N783" s="1"/>
    </row>
    <row r="784" spans="14:14" ht="15.75" hidden="1" customHeight="1" x14ac:dyDescent="0.25">
      <c r="N784" s="1"/>
    </row>
    <row r="785" spans="14:14" ht="15.75" hidden="1" customHeight="1" x14ac:dyDescent="0.25">
      <c r="N785" s="1"/>
    </row>
    <row r="786" spans="14:14" ht="15.75" hidden="1" customHeight="1" x14ac:dyDescent="0.25">
      <c r="N786" s="1"/>
    </row>
    <row r="787" spans="14:14" ht="15.75" hidden="1" customHeight="1" x14ac:dyDescent="0.25">
      <c r="N787" s="1"/>
    </row>
    <row r="788" spans="14:14" ht="15.75" hidden="1" customHeight="1" x14ac:dyDescent="0.25">
      <c r="N788" s="1"/>
    </row>
    <row r="789" spans="14:14" ht="15.75" hidden="1" customHeight="1" x14ac:dyDescent="0.25">
      <c r="N789" s="1"/>
    </row>
    <row r="790" spans="14:14" ht="15.75" hidden="1" customHeight="1" x14ac:dyDescent="0.25">
      <c r="N790" s="1"/>
    </row>
    <row r="791" spans="14:14" ht="15.75" hidden="1" customHeight="1" x14ac:dyDescent="0.25">
      <c r="N791" s="1"/>
    </row>
    <row r="792" spans="14:14" ht="15.75" hidden="1" customHeight="1" x14ac:dyDescent="0.25">
      <c r="N792" s="1"/>
    </row>
    <row r="793" spans="14:14" ht="15.75" hidden="1" customHeight="1" x14ac:dyDescent="0.25">
      <c r="N793" s="1"/>
    </row>
    <row r="794" spans="14:14" ht="15.75" hidden="1" customHeight="1" x14ac:dyDescent="0.25">
      <c r="N794" s="1"/>
    </row>
    <row r="795" spans="14:14" ht="15.75" hidden="1" customHeight="1" x14ac:dyDescent="0.25">
      <c r="N795" s="1"/>
    </row>
    <row r="796" spans="14:14" ht="15.75" hidden="1" customHeight="1" x14ac:dyDescent="0.25">
      <c r="N796" s="1"/>
    </row>
    <row r="797" spans="14:14" ht="15.75" hidden="1" customHeight="1" x14ac:dyDescent="0.25">
      <c r="N797" s="1"/>
    </row>
    <row r="798" spans="14:14" ht="15.75" hidden="1" customHeight="1" x14ac:dyDescent="0.25">
      <c r="N798" s="1"/>
    </row>
    <row r="799" spans="14:14" ht="15.75" hidden="1" customHeight="1" x14ac:dyDescent="0.25">
      <c r="N799" s="1"/>
    </row>
    <row r="800" spans="14:14" ht="15.75" hidden="1" customHeight="1" x14ac:dyDescent="0.25">
      <c r="N800" s="1"/>
    </row>
    <row r="801" spans="14:14" ht="15.75" hidden="1" customHeight="1" x14ac:dyDescent="0.25">
      <c r="N801" s="1"/>
    </row>
    <row r="802" spans="14:14" ht="15.75" hidden="1" customHeight="1" x14ac:dyDescent="0.25">
      <c r="N802" s="1"/>
    </row>
    <row r="803" spans="14:14" ht="15.75" hidden="1" customHeight="1" x14ac:dyDescent="0.25">
      <c r="N803" s="1"/>
    </row>
    <row r="804" spans="14:14" ht="15.75" hidden="1" customHeight="1" x14ac:dyDescent="0.25">
      <c r="N804" s="1"/>
    </row>
    <row r="805" spans="14:14" ht="15.75" hidden="1" customHeight="1" x14ac:dyDescent="0.25">
      <c r="N805" s="1"/>
    </row>
    <row r="806" spans="14:14" ht="15.75" hidden="1" customHeight="1" x14ac:dyDescent="0.25">
      <c r="N806" s="1"/>
    </row>
    <row r="807" spans="14:14" ht="15.75" hidden="1" customHeight="1" x14ac:dyDescent="0.25">
      <c r="N807" s="1"/>
    </row>
    <row r="808" spans="14:14" ht="15.75" hidden="1" customHeight="1" x14ac:dyDescent="0.25">
      <c r="N808" s="1"/>
    </row>
    <row r="809" spans="14:14" ht="15.75" hidden="1" customHeight="1" x14ac:dyDescent="0.25">
      <c r="N809" s="1"/>
    </row>
    <row r="810" spans="14:14" ht="15.75" hidden="1" customHeight="1" x14ac:dyDescent="0.25">
      <c r="N810" s="1"/>
    </row>
    <row r="811" spans="14:14" ht="15.75" hidden="1" customHeight="1" x14ac:dyDescent="0.25">
      <c r="N811" s="1"/>
    </row>
    <row r="812" spans="14:14" ht="15.75" hidden="1" customHeight="1" x14ac:dyDescent="0.25">
      <c r="N812" s="1"/>
    </row>
    <row r="813" spans="14:14" ht="15.75" hidden="1" customHeight="1" x14ac:dyDescent="0.25">
      <c r="N813" s="1"/>
    </row>
    <row r="814" spans="14:14" ht="15.75" hidden="1" customHeight="1" x14ac:dyDescent="0.25">
      <c r="N814" s="1"/>
    </row>
    <row r="815" spans="14:14" ht="15.75" hidden="1" customHeight="1" x14ac:dyDescent="0.25">
      <c r="N815" s="1"/>
    </row>
    <row r="816" spans="14:14" ht="15.75" hidden="1" customHeight="1" x14ac:dyDescent="0.25">
      <c r="N816" s="1"/>
    </row>
    <row r="817" spans="14:14" ht="15.75" hidden="1" customHeight="1" x14ac:dyDescent="0.25">
      <c r="N817" s="1"/>
    </row>
    <row r="818" spans="14:14" ht="15.75" hidden="1" customHeight="1" x14ac:dyDescent="0.25">
      <c r="N818" s="1"/>
    </row>
    <row r="819" spans="14:14" ht="15.75" hidden="1" customHeight="1" x14ac:dyDescent="0.25">
      <c r="N819" s="1"/>
    </row>
    <row r="820" spans="14:14" ht="15.75" hidden="1" customHeight="1" x14ac:dyDescent="0.25">
      <c r="N820" s="1"/>
    </row>
    <row r="821" spans="14:14" ht="15.75" hidden="1" customHeight="1" x14ac:dyDescent="0.25">
      <c r="N821" s="1"/>
    </row>
    <row r="822" spans="14:14" ht="15.75" hidden="1" customHeight="1" x14ac:dyDescent="0.25">
      <c r="N822" s="1"/>
    </row>
    <row r="823" spans="14:14" ht="15.75" hidden="1" customHeight="1" x14ac:dyDescent="0.25">
      <c r="N823" s="1"/>
    </row>
    <row r="824" spans="14:14" ht="15.75" hidden="1" customHeight="1" x14ac:dyDescent="0.25">
      <c r="N824" s="1"/>
    </row>
    <row r="825" spans="14:14" ht="15.75" hidden="1" customHeight="1" x14ac:dyDescent="0.25">
      <c r="N825" s="1"/>
    </row>
    <row r="826" spans="14:14" ht="15.75" hidden="1" customHeight="1" x14ac:dyDescent="0.25">
      <c r="N826" s="1"/>
    </row>
    <row r="827" spans="14:14" ht="15.75" hidden="1" customHeight="1" x14ac:dyDescent="0.25">
      <c r="N827" s="1"/>
    </row>
    <row r="828" spans="14:14" ht="15.75" hidden="1" customHeight="1" x14ac:dyDescent="0.25">
      <c r="N828" s="1"/>
    </row>
    <row r="829" spans="14:14" ht="15.75" hidden="1" customHeight="1" x14ac:dyDescent="0.25">
      <c r="N829" s="1"/>
    </row>
    <row r="830" spans="14:14" ht="15.75" hidden="1" customHeight="1" x14ac:dyDescent="0.25">
      <c r="N830" s="1"/>
    </row>
    <row r="831" spans="14:14" ht="15.75" hidden="1" customHeight="1" x14ac:dyDescent="0.25">
      <c r="N831" s="1"/>
    </row>
    <row r="832" spans="14:14" ht="15.75" hidden="1" customHeight="1" x14ac:dyDescent="0.25">
      <c r="N832" s="1"/>
    </row>
    <row r="833" spans="14:14" ht="15.75" hidden="1" customHeight="1" x14ac:dyDescent="0.25">
      <c r="N833" s="1"/>
    </row>
    <row r="834" spans="14:14" ht="15.75" hidden="1" customHeight="1" x14ac:dyDescent="0.25">
      <c r="N834" s="1"/>
    </row>
    <row r="835" spans="14:14" ht="15.75" hidden="1" customHeight="1" x14ac:dyDescent="0.25">
      <c r="N835" s="1"/>
    </row>
    <row r="836" spans="14:14" ht="15.75" hidden="1" customHeight="1" x14ac:dyDescent="0.25">
      <c r="N836" s="1"/>
    </row>
    <row r="837" spans="14:14" ht="15.75" hidden="1" customHeight="1" x14ac:dyDescent="0.25">
      <c r="N837" s="1"/>
    </row>
    <row r="838" spans="14:14" ht="15.75" hidden="1" customHeight="1" x14ac:dyDescent="0.25">
      <c r="N838" s="1"/>
    </row>
    <row r="839" spans="14:14" ht="15.75" hidden="1" customHeight="1" x14ac:dyDescent="0.25">
      <c r="N839" s="1"/>
    </row>
    <row r="840" spans="14:14" ht="15.75" hidden="1" customHeight="1" x14ac:dyDescent="0.25">
      <c r="N840" s="1"/>
    </row>
    <row r="841" spans="14:14" ht="15.75" hidden="1" customHeight="1" x14ac:dyDescent="0.25">
      <c r="N841" s="1"/>
    </row>
    <row r="842" spans="14:14" ht="15.75" hidden="1" customHeight="1" x14ac:dyDescent="0.25">
      <c r="N842" s="1"/>
    </row>
    <row r="843" spans="14:14" ht="15.75" hidden="1" customHeight="1" x14ac:dyDescent="0.25">
      <c r="N843" s="1"/>
    </row>
    <row r="844" spans="14:14" ht="15.75" hidden="1" customHeight="1" x14ac:dyDescent="0.25">
      <c r="N844" s="1"/>
    </row>
    <row r="845" spans="14:14" ht="15.75" hidden="1" customHeight="1" x14ac:dyDescent="0.25">
      <c r="N845" s="1"/>
    </row>
    <row r="846" spans="14:14" ht="15.75" hidden="1" customHeight="1" x14ac:dyDescent="0.25">
      <c r="N846" s="1"/>
    </row>
    <row r="847" spans="14:14" ht="15.75" hidden="1" customHeight="1" x14ac:dyDescent="0.25">
      <c r="N847" s="1"/>
    </row>
    <row r="848" spans="14:14" ht="15.75" hidden="1" customHeight="1" x14ac:dyDescent="0.25">
      <c r="N848" s="1"/>
    </row>
    <row r="849" spans="14:14" ht="15.75" hidden="1" customHeight="1" x14ac:dyDescent="0.25">
      <c r="N849" s="1"/>
    </row>
    <row r="850" spans="14:14" ht="15.75" hidden="1" customHeight="1" x14ac:dyDescent="0.25">
      <c r="N850" s="1"/>
    </row>
    <row r="851" spans="14:14" ht="15.75" hidden="1" customHeight="1" x14ac:dyDescent="0.25">
      <c r="N851" s="1"/>
    </row>
    <row r="852" spans="14:14" ht="15.75" hidden="1" customHeight="1" x14ac:dyDescent="0.25">
      <c r="N852" s="1"/>
    </row>
    <row r="853" spans="14:14" ht="15.75" hidden="1" customHeight="1" x14ac:dyDescent="0.25">
      <c r="N853" s="1"/>
    </row>
    <row r="854" spans="14:14" ht="15.75" hidden="1" customHeight="1" x14ac:dyDescent="0.25">
      <c r="N854" s="1"/>
    </row>
    <row r="855" spans="14:14" ht="15.75" hidden="1" customHeight="1" x14ac:dyDescent="0.25">
      <c r="N855" s="1"/>
    </row>
    <row r="856" spans="14:14" ht="15.75" hidden="1" customHeight="1" x14ac:dyDescent="0.25">
      <c r="N856" s="1"/>
    </row>
    <row r="857" spans="14:14" ht="15.75" hidden="1" customHeight="1" x14ac:dyDescent="0.25">
      <c r="N857" s="1"/>
    </row>
    <row r="858" spans="14:14" ht="15.75" hidden="1" customHeight="1" x14ac:dyDescent="0.25">
      <c r="N858" s="1"/>
    </row>
    <row r="859" spans="14:14" ht="15.75" hidden="1" customHeight="1" x14ac:dyDescent="0.25">
      <c r="N859" s="1"/>
    </row>
    <row r="860" spans="14:14" ht="15.75" hidden="1" customHeight="1" x14ac:dyDescent="0.25">
      <c r="N860" s="1"/>
    </row>
    <row r="861" spans="14:14" ht="15.75" hidden="1" customHeight="1" x14ac:dyDescent="0.25">
      <c r="N861" s="1"/>
    </row>
    <row r="862" spans="14:14" ht="15.75" hidden="1" customHeight="1" x14ac:dyDescent="0.25">
      <c r="N862" s="1"/>
    </row>
    <row r="863" spans="14:14" ht="15.75" hidden="1" customHeight="1" x14ac:dyDescent="0.25">
      <c r="N863" s="1"/>
    </row>
    <row r="864" spans="14:14" ht="15.75" hidden="1" customHeight="1" x14ac:dyDescent="0.25">
      <c r="N864" s="1"/>
    </row>
    <row r="865" spans="14:14" ht="15.75" hidden="1" customHeight="1" x14ac:dyDescent="0.25">
      <c r="N865" s="1"/>
    </row>
    <row r="866" spans="14:14" ht="15.75" hidden="1" customHeight="1" x14ac:dyDescent="0.25">
      <c r="N866" s="1"/>
    </row>
    <row r="867" spans="14:14" ht="15.75" hidden="1" customHeight="1" x14ac:dyDescent="0.25">
      <c r="N867" s="1"/>
    </row>
    <row r="868" spans="14:14" ht="15.75" hidden="1" customHeight="1" x14ac:dyDescent="0.25">
      <c r="N868" s="1"/>
    </row>
    <row r="869" spans="14:14" ht="15.75" hidden="1" customHeight="1" x14ac:dyDescent="0.25">
      <c r="N869" s="1"/>
    </row>
    <row r="870" spans="14:14" ht="15.75" hidden="1" customHeight="1" x14ac:dyDescent="0.25">
      <c r="N870" s="1"/>
    </row>
    <row r="871" spans="14:14" ht="15.75" hidden="1" customHeight="1" x14ac:dyDescent="0.25">
      <c r="N871" s="1"/>
    </row>
    <row r="872" spans="14:14" ht="15.75" hidden="1" customHeight="1" x14ac:dyDescent="0.25">
      <c r="N872" s="1"/>
    </row>
    <row r="873" spans="14:14" ht="15.75" hidden="1" customHeight="1" x14ac:dyDescent="0.25">
      <c r="N873" s="1"/>
    </row>
    <row r="874" spans="14:14" ht="15.75" hidden="1" customHeight="1" x14ac:dyDescent="0.25">
      <c r="N874" s="1"/>
    </row>
    <row r="875" spans="14:14" ht="15.75" hidden="1" customHeight="1" x14ac:dyDescent="0.25">
      <c r="N875" s="1"/>
    </row>
    <row r="876" spans="14:14" ht="15.75" hidden="1" customHeight="1" x14ac:dyDescent="0.25">
      <c r="N876" s="1"/>
    </row>
    <row r="877" spans="14:14" ht="15.75" hidden="1" customHeight="1" x14ac:dyDescent="0.25">
      <c r="N877" s="1"/>
    </row>
    <row r="878" spans="14:14" ht="15.75" hidden="1" customHeight="1" x14ac:dyDescent="0.25">
      <c r="N878" s="1"/>
    </row>
    <row r="879" spans="14:14" ht="15.75" hidden="1" customHeight="1" x14ac:dyDescent="0.25">
      <c r="N879" s="1"/>
    </row>
    <row r="880" spans="14:14" ht="15.75" hidden="1" customHeight="1" x14ac:dyDescent="0.25">
      <c r="N880" s="1"/>
    </row>
    <row r="881" spans="14:14" ht="15.75" hidden="1" customHeight="1" x14ac:dyDescent="0.25">
      <c r="N881" s="1"/>
    </row>
    <row r="882" spans="14:14" ht="15.75" hidden="1" customHeight="1" x14ac:dyDescent="0.25">
      <c r="N882" s="1"/>
    </row>
    <row r="883" spans="14:14" ht="15.75" hidden="1" customHeight="1" x14ac:dyDescent="0.25">
      <c r="N883" s="1"/>
    </row>
    <row r="884" spans="14:14" ht="15.75" hidden="1" customHeight="1" x14ac:dyDescent="0.25">
      <c r="N884" s="1"/>
    </row>
    <row r="885" spans="14:14" ht="15.75" hidden="1" customHeight="1" x14ac:dyDescent="0.25">
      <c r="N885" s="1"/>
    </row>
    <row r="886" spans="14:14" ht="15.75" hidden="1" customHeight="1" x14ac:dyDescent="0.25">
      <c r="N886" s="1"/>
    </row>
    <row r="887" spans="14:14" ht="15.75" hidden="1" customHeight="1" x14ac:dyDescent="0.25">
      <c r="N887" s="1"/>
    </row>
    <row r="888" spans="14:14" ht="15.75" hidden="1" customHeight="1" x14ac:dyDescent="0.25">
      <c r="N888" s="1"/>
    </row>
    <row r="889" spans="14:14" ht="15.75" hidden="1" customHeight="1" x14ac:dyDescent="0.25">
      <c r="N889" s="1"/>
    </row>
    <row r="890" spans="14:14" ht="15.75" hidden="1" customHeight="1" x14ac:dyDescent="0.25">
      <c r="N890" s="1"/>
    </row>
    <row r="891" spans="14:14" ht="15.75" hidden="1" customHeight="1" x14ac:dyDescent="0.25">
      <c r="N891" s="1"/>
    </row>
    <row r="892" spans="14:14" ht="15.75" hidden="1" customHeight="1" x14ac:dyDescent="0.25">
      <c r="N892" s="1"/>
    </row>
    <row r="893" spans="14:14" ht="15.75" hidden="1" customHeight="1" x14ac:dyDescent="0.25">
      <c r="N893" s="1"/>
    </row>
    <row r="894" spans="14:14" ht="15.75" hidden="1" customHeight="1" x14ac:dyDescent="0.25">
      <c r="N894" s="1"/>
    </row>
    <row r="895" spans="14:14" ht="15.75" hidden="1" customHeight="1" x14ac:dyDescent="0.25">
      <c r="N895" s="1"/>
    </row>
    <row r="896" spans="14:14" ht="15.75" hidden="1" customHeight="1" x14ac:dyDescent="0.25">
      <c r="N896" s="1"/>
    </row>
    <row r="897" spans="14:14" ht="15.75" hidden="1" customHeight="1" x14ac:dyDescent="0.25">
      <c r="N897" s="1"/>
    </row>
    <row r="898" spans="14:14" ht="15.75" hidden="1" customHeight="1" x14ac:dyDescent="0.25">
      <c r="N898" s="1"/>
    </row>
    <row r="899" spans="14:14" ht="15.75" hidden="1" customHeight="1" x14ac:dyDescent="0.25">
      <c r="N899" s="1"/>
    </row>
    <row r="900" spans="14:14" ht="15.75" hidden="1" customHeight="1" x14ac:dyDescent="0.25">
      <c r="N900" s="1"/>
    </row>
    <row r="901" spans="14:14" ht="15.75" hidden="1" customHeight="1" x14ac:dyDescent="0.25">
      <c r="N901" s="1"/>
    </row>
    <row r="902" spans="14:14" ht="15.75" hidden="1" customHeight="1" x14ac:dyDescent="0.25">
      <c r="N902" s="1"/>
    </row>
    <row r="903" spans="14:14" ht="15.75" hidden="1" customHeight="1" x14ac:dyDescent="0.25">
      <c r="N903" s="1"/>
    </row>
    <row r="904" spans="14:14" ht="15.75" hidden="1" customHeight="1" x14ac:dyDescent="0.25">
      <c r="N904" s="1"/>
    </row>
    <row r="905" spans="14:14" ht="15.75" hidden="1" customHeight="1" x14ac:dyDescent="0.25">
      <c r="N905" s="1"/>
    </row>
    <row r="906" spans="14:14" ht="15.75" hidden="1" customHeight="1" x14ac:dyDescent="0.25">
      <c r="N906" s="1"/>
    </row>
    <row r="907" spans="14:14" ht="15.75" hidden="1" customHeight="1" x14ac:dyDescent="0.25">
      <c r="N907" s="1"/>
    </row>
    <row r="908" spans="14:14" ht="15.75" hidden="1" customHeight="1" x14ac:dyDescent="0.25">
      <c r="N908" s="1"/>
    </row>
    <row r="909" spans="14:14" ht="15.75" hidden="1" customHeight="1" x14ac:dyDescent="0.25">
      <c r="N909" s="1"/>
    </row>
    <row r="910" spans="14:14" ht="15.75" hidden="1" customHeight="1" x14ac:dyDescent="0.25">
      <c r="N910" s="1"/>
    </row>
    <row r="911" spans="14:14" ht="15.75" hidden="1" customHeight="1" x14ac:dyDescent="0.25">
      <c r="N911" s="1"/>
    </row>
    <row r="912" spans="14:14" ht="15.75" hidden="1" customHeight="1" x14ac:dyDescent="0.25">
      <c r="N912" s="1"/>
    </row>
    <row r="913" spans="14:14" ht="15.75" hidden="1" customHeight="1" x14ac:dyDescent="0.25">
      <c r="N913" s="1"/>
    </row>
    <row r="914" spans="14:14" ht="15.75" hidden="1" customHeight="1" x14ac:dyDescent="0.25">
      <c r="N914" s="1"/>
    </row>
    <row r="915" spans="14:14" ht="15.75" hidden="1" customHeight="1" x14ac:dyDescent="0.25">
      <c r="N915" s="1"/>
    </row>
    <row r="916" spans="14:14" ht="15.75" hidden="1" customHeight="1" x14ac:dyDescent="0.25">
      <c r="N916" s="1"/>
    </row>
    <row r="917" spans="14:14" ht="15.75" hidden="1" customHeight="1" x14ac:dyDescent="0.25">
      <c r="N917" s="1"/>
    </row>
    <row r="918" spans="14:14" ht="15.75" hidden="1" customHeight="1" x14ac:dyDescent="0.25">
      <c r="N918" s="1"/>
    </row>
    <row r="919" spans="14:14" ht="15.75" hidden="1" customHeight="1" x14ac:dyDescent="0.25">
      <c r="N919" s="1"/>
    </row>
    <row r="920" spans="14:14" ht="15.75" hidden="1" customHeight="1" x14ac:dyDescent="0.25">
      <c r="N920" s="1"/>
    </row>
    <row r="921" spans="14:14" ht="15.75" hidden="1" customHeight="1" x14ac:dyDescent="0.25">
      <c r="N921" s="1"/>
    </row>
    <row r="922" spans="14:14" ht="15.75" hidden="1" customHeight="1" x14ac:dyDescent="0.25">
      <c r="N922" s="1"/>
    </row>
    <row r="923" spans="14:14" ht="15.75" hidden="1" customHeight="1" x14ac:dyDescent="0.25">
      <c r="N923" s="1"/>
    </row>
    <row r="924" spans="14:14" ht="15.75" hidden="1" customHeight="1" x14ac:dyDescent="0.25">
      <c r="N924" s="1"/>
    </row>
    <row r="925" spans="14:14" ht="15.75" hidden="1" customHeight="1" x14ac:dyDescent="0.25">
      <c r="N925" s="1"/>
    </row>
    <row r="926" spans="14:14" ht="15.75" hidden="1" customHeight="1" x14ac:dyDescent="0.25">
      <c r="N926" s="1"/>
    </row>
    <row r="927" spans="14:14" ht="15.75" hidden="1" customHeight="1" x14ac:dyDescent="0.25">
      <c r="N927" s="1"/>
    </row>
    <row r="928" spans="14:14" ht="15.75" hidden="1" customHeight="1" x14ac:dyDescent="0.25">
      <c r="N928" s="1"/>
    </row>
    <row r="929" spans="14:14" ht="15.75" hidden="1" customHeight="1" x14ac:dyDescent="0.25">
      <c r="N929" s="1"/>
    </row>
    <row r="930" spans="14:14" ht="15.75" hidden="1" customHeight="1" x14ac:dyDescent="0.25">
      <c r="N930" s="1"/>
    </row>
    <row r="931" spans="14:14" ht="15.75" hidden="1" customHeight="1" x14ac:dyDescent="0.25">
      <c r="N931" s="1"/>
    </row>
    <row r="932" spans="14:14" ht="15.75" hidden="1" customHeight="1" x14ac:dyDescent="0.25">
      <c r="N932" s="1"/>
    </row>
    <row r="933" spans="14:14" ht="15.75" hidden="1" customHeight="1" x14ac:dyDescent="0.25">
      <c r="N933" s="1"/>
    </row>
    <row r="934" spans="14:14" ht="15.75" hidden="1" customHeight="1" x14ac:dyDescent="0.25">
      <c r="N934" s="1"/>
    </row>
    <row r="935" spans="14:14" ht="15.75" hidden="1" customHeight="1" x14ac:dyDescent="0.25">
      <c r="N935" s="1"/>
    </row>
    <row r="936" spans="14:14" ht="15.75" hidden="1" customHeight="1" x14ac:dyDescent="0.25">
      <c r="N936" s="1"/>
    </row>
    <row r="937" spans="14:14" ht="15.75" hidden="1" customHeight="1" x14ac:dyDescent="0.25">
      <c r="N937" s="1"/>
    </row>
    <row r="938" spans="14:14" ht="15.75" hidden="1" customHeight="1" x14ac:dyDescent="0.25">
      <c r="N938" s="1"/>
    </row>
    <row r="939" spans="14:14" ht="15.75" hidden="1" customHeight="1" x14ac:dyDescent="0.25">
      <c r="N939" s="1"/>
    </row>
    <row r="940" spans="14:14" ht="15.75" hidden="1" customHeight="1" x14ac:dyDescent="0.25">
      <c r="N940" s="1"/>
    </row>
    <row r="941" spans="14:14" ht="15.75" hidden="1" customHeight="1" x14ac:dyDescent="0.25">
      <c r="N941" s="1"/>
    </row>
    <row r="942" spans="14:14" ht="15.75" hidden="1" customHeight="1" x14ac:dyDescent="0.25">
      <c r="N942" s="1"/>
    </row>
    <row r="943" spans="14:14" ht="15.75" hidden="1" customHeight="1" x14ac:dyDescent="0.25">
      <c r="N943" s="1"/>
    </row>
    <row r="944" spans="14:14" ht="15.75" hidden="1" customHeight="1" x14ac:dyDescent="0.25">
      <c r="N944" s="1"/>
    </row>
    <row r="945" spans="14:14" ht="15.75" hidden="1" customHeight="1" x14ac:dyDescent="0.25">
      <c r="N945" s="1"/>
    </row>
    <row r="946" spans="14:14" ht="15.75" hidden="1" customHeight="1" x14ac:dyDescent="0.25">
      <c r="N946" s="1"/>
    </row>
    <row r="947" spans="14:14" ht="15.75" hidden="1" customHeight="1" x14ac:dyDescent="0.25">
      <c r="N947" s="1"/>
    </row>
    <row r="948" spans="14:14" ht="15.75" hidden="1" customHeight="1" x14ac:dyDescent="0.25">
      <c r="N948" s="1"/>
    </row>
    <row r="949" spans="14:14" ht="15.75" hidden="1" customHeight="1" x14ac:dyDescent="0.25">
      <c r="N949" s="1"/>
    </row>
    <row r="950" spans="14:14" ht="15.75" hidden="1" customHeight="1" x14ac:dyDescent="0.25">
      <c r="N950" s="1"/>
    </row>
    <row r="951" spans="14:14" ht="15.75" hidden="1" customHeight="1" x14ac:dyDescent="0.25">
      <c r="N951" s="1"/>
    </row>
    <row r="952" spans="14:14" ht="15.75" hidden="1" customHeight="1" x14ac:dyDescent="0.25">
      <c r="N952" s="1"/>
    </row>
    <row r="953" spans="14:14" ht="15.75" hidden="1" customHeight="1" x14ac:dyDescent="0.25">
      <c r="N953" s="1"/>
    </row>
    <row r="954" spans="14:14" ht="15.75" hidden="1" customHeight="1" x14ac:dyDescent="0.25">
      <c r="N954" s="1"/>
    </row>
    <row r="955" spans="14:14" ht="15.75" hidden="1" customHeight="1" x14ac:dyDescent="0.25">
      <c r="N955" s="1"/>
    </row>
    <row r="956" spans="14:14" ht="15.75" hidden="1" customHeight="1" x14ac:dyDescent="0.25">
      <c r="N956" s="1"/>
    </row>
    <row r="957" spans="14:14" ht="15.75" hidden="1" customHeight="1" x14ac:dyDescent="0.25">
      <c r="N957" s="1"/>
    </row>
    <row r="958" spans="14:14" ht="15.75" hidden="1" customHeight="1" x14ac:dyDescent="0.25">
      <c r="N958" s="1"/>
    </row>
    <row r="959" spans="14:14" ht="15.75" hidden="1" customHeight="1" x14ac:dyDescent="0.25">
      <c r="N959" s="1"/>
    </row>
    <row r="960" spans="14:14" ht="15.75" hidden="1" customHeight="1" x14ac:dyDescent="0.25">
      <c r="N960" s="1"/>
    </row>
    <row r="961" spans="14:14" ht="15.75" hidden="1" customHeight="1" x14ac:dyDescent="0.25">
      <c r="N961" s="1"/>
    </row>
    <row r="962" spans="14:14" ht="15.75" hidden="1" customHeight="1" x14ac:dyDescent="0.25">
      <c r="N962" s="1"/>
    </row>
    <row r="963" spans="14:14" ht="15.75" hidden="1" customHeight="1" x14ac:dyDescent="0.25">
      <c r="N963" s="1"/>
    </row>
    <row r="964" spans="14:14" ht="15.75" hidden="1" customHeight="1" x14ac:dyDescent="0.25">
      <c r="N964" s="1"/>
    </row>
    <row r="965" spans="14:14" ht="15.75" hidden="1" customHeight="1" x14ac:dyDescent="0.25">
      <c r="N965" s="1"/>
    </row>
    <row r="966" spans="14:14" ht="15.75" hidden="1" customHeight="1" x14ac:dyDescent="0.25">
      <c r="N966" s="1"/>
    </row>
    <row r="967" spans="14:14" ht="15.75" hidden="1" customHeight="1" x14ac:dyDescent="0.25">
      <c r="N967" s="1"/>
    </row>
    <row r="968" spans="14:14" ht="15.75" hidden="1" customHeight="1" x14ac:dyDescent="0.25">
      <c r="N968" s="1"/>
    </row>
    <row r="969" spans="14:14" ht="15.75" hidden="1" customHeight="1" x14ac:dyDescent="0.25">
      <c r="N969" s="1"/>
    </row>
    <row r="970" spans="14:14" ht="15.75" hidden="1" customHeight="1" x14ac:dyDescent="0.25">
      <c r="N970" s="1"/>
    </row>
    <row r="971" spans="14:14" ht="15.75" hidden="1" customHeight="1" x14ac:dyDescent="0.25">
      <c r="N971" s="1"/>
    </row>
    <row r="972" spans="14:14" ht="15.75" hidden="1" customHeight="1" x14ac:dyDescent="0.25">
      <c r="N972" s="1"/>
    </row>
    <row r="973" spans="14:14" ht="15.75" hidden="1" customHeight="1" x14ac:dyDescent="0.25">
      <c r="N973" s="1"/>
    </row>
    <row r="974" spans="14:14" ht="15.75" hidden="1" customHeight="1" x14ac:dyDescent="0.25">
      <c r="N974" s="1"/>
    </row>
    <row r="975" spans="14:14" ht="15.75" hidden="1" customHeight="1" x14ac:dyDescent="0.25">
      <c r="N975" s="1"/>
    </row>
    <row r="976" spans="14:14" ht="15.75" hidden="1" customHeight="1" x14ac:dyDescent="0.25">
      <c r="N976" s="1"/>
    </row>
    <row r="977" spans="14:14" ht="15.75" hidden="1" customHeight="1" x14ac:dyDescent="0.25">
      <c r="N977" s="1"/>
    </row>
    <row r="978" spans="14:14" ht="15.75" hidden="1" customHeight="1" x14ac:dyDescent="0.25">
      <c r="N978" s="1"/>
    </row>
    <row r="979" spans="14:14" ht="15.75" hidden="1" customHeight="1" x14ac:dyDescent="0.25">
      <c r="N979" s="1"/>
    </row>
    <row r="980" spans="14:14" ht="15.75" hidden="1" customHeight="1" x14ac:dyDescent="0.25">
      <c r="N980" s="1"/>
    </row>
    <row r="981" spans="14:14" ht="15.75" hidden="1" customHeight="1" x14ac:dyDescent="0.25">
      <c r="N981" s="1"/>
    </row>
    <row r="982" spans="14:14" ht="15.75" hidden="1" customHeight="1" x14ac:dyDescent="0.25">
      <c r="N982" s="1"/>
    </row>
    <row r="983" spans="14:14" ht="15.75" hidden="1" customHeight="1" x14ac:dyDescent="0.25">
      <c r="N983" s="1"/>
    </row>
    <row r="984" spans="14:14" ht="15.75" hidden="1" customHeight="1" x14ac:dyDescent="0.25">
      <c r="N984" s="1"/>
    </row>
    <row r="985" spans="14:14" ht="15.75" hidden="1" customHeight="1" x14ac:dyDescent="0.25">
      <c r="N985" s="1"/>
    </row>
    <row r="986" spans="14:14" ht="15.75" hidden="1" customHeight="1" x14ac:dyDescent="0.25">
      <c r="N986" s="1"/>
    </row>
    <row r="987" spans="14:14" ht="15.75" hidden="1" customHeight="1" x14ac:dyDescent="0.25">
      <c r="N987" s="1"/>
    </row>
    <row r="988" spans="14:14" ht="15.75" hidden="1" customHeight="1" x14ac:dyDescent="0.25">
      <c r="N988" s="1"/>
    </row>
    <row r="989" spans="14:14" ht="15.75" hidden="1" customHeight="1" x14ac:dyDescent="0.25">
      <c r="N989" s="1"/>
    </row>
    <row r="990" spans="14:14" ht="15.75" hidden="1" customHeight="1" x14ac:dyDescent="0.25">
      <c r="N990" s="1"/>
    </row>
    <row r="991" spans="14:14" ht="15.75" hidden="1" customHeight="1" x14ac:dyDescent="0.25">
      <c r="N991" s="1"/>
    </row>
    <row r="992" spans="14:14" ht="15.75" hidden="1" customHeight="1" x14ac:dyDescent="0.25">
      <c r="N992" s="1"/>
    </row>
    <row r="993" spans="14:14" ht="15.75" hidden="1" customHeight="1" x14ac:dyDescent="0.25">
      <c r="N993" s="1"/>
    </row>
    <row r="994" spans="14:14" ht="15.75" hidden="1" customHeight="1" x14ac:dyDescent="0.25">
      <c r="N994" s="1"/>
    </row>
    <row r="995" spans="14:14" ht="15.75" hidden="1" customHeight="1" x14ac:dyDescent="0.25">
      <c r="N995" s="1"/>
    </row>
    <row r="996" spans="14:14" ht="15.75" hidden="1" customHeight="1" x14ac:dyDescent="0.25">
      <c r="N996" s="1"/>
    </row>
    <row r="997" spans="14:14" ht="15.75" hidden="1" customHeight="1" x14ac:dyDescent="0.25">
      <c r="N997" s="1"/>
    </row>
    <row r="998" spans="14:14" ht="15.75" hidden="1" customHeight="1" x14ac:dyDescent="0.25">
      <c r="N998" s="1"/>
    </row>
    <row r="999" spans="14:14" ht="15.75" hidden="1" customHeight="1" x14ac:dyDescent="0.25">
      <c r="N999" s="1"/>
    </row>
    <row r="1000" spans="14:14" ht="15.75" hidden="1" customHeight="1" x14ac:dyDescent="0.25">
      <c r="N1000" s="1"/>
    </row>
    <row r="1001" spans="14:14" ht="15.75" hidden="1" customHeight="1" x14ac:dyDescent="0.25">
      <c r="N1001" s="1"/>
    </row>
    <row r="1002" spans="14:14" ht="15.75" hidden="1" customHeight="1" x14ac:dyDescent="0.25">
      <c r="N1002" s="1"/>
    </row>
  </sheetData>
  <sheetProtection algorithmName="SHA-512" hashValue="I9ZO99IQDIvUthHDTQAyCmFFBIJXEZWyTcVlmIAuEkc2Y3wvlibh8Zj9kT2+O/b5YEwfOwUnZV0kLgiNlBLUow==" saltValue="UYp01u+DP6XjEr1UFV2e8w==" spinCount="100000" sheet="1" objects="1" scenarios="1" selectLockedCells="1"/>
  <mergeCells count="25">
    <mergeCell ref="U1:Y1"/>
    <mergeCell ref="U3:Y3"/>
    <mergeCell ref="O3:S3"/>
    <mergeCell ref="O25:S25"/>
    <mergeCell ref="O1:S1"/>
    <mergeCell ref="O14:S14"/>
    <mergeCell ref="U25:Y25"/>
    <mergeCell ref="I1:M1"/>
    <mergeCell ref="C1:G1"/>
    <mergeCell ref="C3:G3"/>
    <mergeCell ref="I25:M25"/>
    <mergeCell ref="I3:M3"/>
    <mergeCell ref="A43:A44"/>
    <mergeCell ref="A47:AA47"/>
    <mergeCell ref="U36:Y36"/>
    <mergeCell ref="A10:A11"/>
    <mergeCell ref="A32:A33"/>
    <mergeCell ref="I14:M14"/>
    <mergeCell ref="I36:M36"/>
    <mergeCell ref="C14:G14"/>
    <mergeCell ref="C36:G36"/>
    <mergeCell ref="A21:A22"/>
    <mergeCell ref="C25:G25"/>
    <mergeCell ref="U14:Y14"/>
    <mergeCell ref="O36:S36"/>
  </mergeCells>
  <hyperlinks>
    <hyperlink ref="A47" r:id="rId1"/>
  </hyperlinks>
  <pageMargins left="0.7" right="0.7" top="0.75" bottom="0.75" header="0" footer="0"/>
  <pageSetup orientation="portrait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02"/>
  <sheetViews>
    <sheetView showGridLines="0" zoomScale="90" zoomScaleNormal="90" workbookViewId="0">
      <selection activeCell="G5" sqref="G5"/>
    </sheetView>
  </sheetViews>
  <sheetFormatPr baseColWidth="10" defaultColWidth="0" defaultRowHeight="0" customHeight="1" zeroHeight="1" x14ac:dyDescent="0.25"/>
  <cols>
    <col min="1" max="1" width="19.85546875" customWidth="1"/>
    <col min="2" max="2" width="0.7109375" customWidth="1"/>
    <col min="3" max="3" width="20" customWidth="1"/>
    <col min="4" max="5" width="7.85546875" customWidth="1"/>
    <col min="6" max="6" width="10" customWidth="1"/>
    <col min="7" max="7" width="8.5703125" customWidth="1"/>
    <col min="8" max="8" width="5.7109375" customWidth="1"/>
    <col min="9" max="9" width="21.85546875" customWidth="1"/>
    <col min="10" max="11" width="7.85546875" customWidth="1"/>
    <col min="12" max="12" width="10" customWidth="1"/>
    <col min="13" max="13" width="8.5703125" customWidth="1"/>
    <col min="14" max="14" width="0.42578125" customWidth="1"/>
    <col min="15" max="15" width="31.140625" customWidth="1"/>
    <col min="16" max="17" width="7.85546875" customWidth="1"/>
    <col min="18" max="18" width="10" customWidth="1"/>
    <col min="19" max="19" width="8.5703125" customWidth="1"/>
    <col min="20" max="20" width="5.7109375" customWidth="1"/>
    <col min="21" max="21" width="21.140625" customWidth="1"/>
    <col min="22" max="23" width="7.85546875" customWidth="1"/>
    <col min="24" max="24" width="10" customWidth="1"/>
    <col min="25" max="25" width="8.5703125" customWidth="1"/>
    <col min="26" max="26" width="5.7109375" customWidth="1"/>
    <col min="27" max="27" width="11.42578125" customWidth="1"/>
    <col min="28" max="31" width="0" hidden="1" customWidth="1"/>
    <col min="32" max="32" width="0.42578125" hidden="1" customWidth="1"/>
    <col min="33" max="33" width="20" hidden="1" customWidth="1"/>
    <col min="34" max="35" width="7.85546875" hidden="1" customWidth="1"/>
    <col min="36" max="36" width="10" hidden="1" customWidth="1"/>
    <col min="37" max="37" width="8.42578125" hidden="1" customWidth="1"/>
    <col min="38" max="38" width="5.7109375" hidden="1" customWidth="1"/>
    <col min="39" max="39" width="0" hidden="1" customWidth="1"/>
    <col min="40" max="40" width="20" hidden="1" customWidth="1"/>
    <col min="41" max="42" width="7.85546875" hidden="1" customWidth="1"/>
    <col min="43" max="43" width="10" hidden="1" customWidth="1"/>
    <col min="44" max="44" width="8.42578125" hidden="1" customWidth="1"/>
    <col min="45" max="45" width="5.7109375" hidden="1" customWidth="1"/>
    <col min="46" max="53" width="0" hidden="1" customWidth="1"/>
    <col min="54" max="16384" width="14.42578125" hidden="1"/>
  </cols>
  <sheetData>
    <row r="1" spans="1:27" ht="15" x14ac:dyDescent="0.25">
      <c r="A1" s="1"/>
      <c r="B1" s="1"/>
      <c r="C1" s="210"/>
      <c r="D1" s="211"/>
      <c r="E1" s="211"/>
      <c r="F1" s="211"/>
      <c r="G1" s="211"/>
      <c r="H1" s="1"/>
      <c r="I1" s="210"/>
      <c r="J1" s="211"/>
      <c r="K1" s="211"/>
      <c r="L1" s="211"/>
      <c r="M1" s="211"/>
      <c r="N1" s="1"/>
      <c r="O1" s="210"/>
      <c r="P1" s="211"/>
      <c r="Q1" s="211"/>
      <c r="R1" s="211"/>
      <c r="S1" s="211"/>
      <c r="T1" s="1"/>
      <c r="U1" s="210"/>
      <c r="V1" s="211"/>
      <c r="W1" s="211"/>
      <c r="X1" s="211"/>
      <c r="Y1" s="211"/>
      <c r="Z1" s="1"/>
      <c r="AA1" s="1"/>
    </row>
    <row r="2" spans="1:27" ht="15.75" thickBot="1" x14ac:dyDescent="0.3">
      <c r="A2" s="1"/>
      <c r="B2" s="1"/>
      <c r="C2" s="3"/>
      <c r="D2" s="3"/>
      <c r="E2" s="3"/>
      <c r="F2" s="3"/>
      <c r="G2" s="3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"/>
      <c r="U2" s="3"/>
      <c r="V2" s="3"/>
      <c r="W2" s="3"/>
      <c r="X2" s="3"/>
      <c r="Y2" s="3"/>
      <c r="Z2" s="1"/>
      <c r="AA2" s="1"/>
    </row>
    <row r="3" spans="1:27" ht="18.75" customHeight="1" x14ac:dyDescent="0.25">
      <c r="A3" s="1"/>
      <c r="B3" s="4"/>
      <c r="C3" s="223" t="str">
        <f>IF(Profil!$H$51="","SEANCE 17",I3-2)</f>
        <v>SEANCE 17</v>
      </c>
      <c r="D3" s="224"/>
      <c r="E3" s="224"/>
      <c r="F3" s="224"/>
      <c r="G3" s="224"/>
      <c r="H3" s="114"/>
      <c r="I3" s="223" t="str">
        <f>IF(Profil!$H$51="","SEANCE 18",O3-1)</f>
        <v>SEANCE 18</v>
      </c>
      <c r="J3" s="224"/>
      <c r="K3" s="224"/>
      <c r="L3" s="224"/>
      <c r="M3" s="224"/>
      <c r="N3" s="27"/>
      <c r="O3" s="225" t="str">
        <f>IF(Profil!$H$51="","SEANCE 19",U3-2)</f>
        <v>SEANCE 19</v>
      </c>
      <c r="P3" s="226"/>
      <c r="Q3" s="226"/>
      <c r="R3" s="226"/>
      <c r="S3" s="226"/>
      <c r="T3" s="114"/>
      <c r="U3" s="217" t="str">
        <f>IF(Profil!$H$51="","SEANCE 20",U14-7)</f>
        <v>SEANCE 20</v>
      </c>
      <c r="V3" s="227"/>
      <c r="W3" s="227"/>
      <c r="X3" s="227"/>
      <c r="Y3" s="227"/>
      <c r="Z3" s="114"/>
      <c r="AA3" s="1"/>
    </row>
    <row r="4" spans="1:27" ht="15" customHeight="1" x14ac:dyDescent="0.25">
      <c r="A4" s="1"/>
      <c r="B4" s="5"/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115"/>
      <c r="I4" s="6" t="s">
        <v>4</v>
      </c>
      <c r="J4" s="7" t="s">
        <v>5</v>
      </c>
      <c r="K4" s="16" t="s">
        <v>6</v>
      </c>
      <c r="L4" s="7" t="s">
        <v>7</v>
      </c>
      <c r="M4" s="7" t="s">
        <v>8</v>
      </c>
      <c r="N4" s="2"/>
      <c r="O4" s="72" t="s">
        <v>4</v>
      </c>
      <c r="P4" s="7" t="s">
        <v>5</v>
      </c>
      <c r="Q4" s="7" t="s">
        <v>6</v>
      </c>
      <c r="R4" s="7" t="s">
        <v>7</v>
      </c>
      <c r="S4" s="7" t="s">
        <v>8</v>
      </c>
      <c r="T4" s="115"/>
      <c r="U4" s="6" t="s">
        <v>4</v>
      </c>
      <c r="V4" s="7" t="s">
        <v>5</v>
      </c>
      <c r="W4" s="7" t="s">
        <v>6</v>
      </c>
      <c r="X4" s="7" t="s">
        <v>7</v>
      </c>
      <c r="Y4" s="7" t="s">
        <v>8</v>
      </c>
      <c r="Z4" s="115"/>
      <c r="AA4" s="1"/>
    </row>
    <row r="5" spans="1:27" ht="15" customHeight="1" x14ac:dyDescent="0.25">
      <c r="A5" s="1"/>
      <c r="B5" s="5"/>
      <c r="C5" s="19" t="s">
        <v>2</v>
      </c>
      <c r="D5" s="10">
        <v>1</v>
      </c>
      <c r="E5" s="10">
        <v>4</v>
      </c>
      <c r="F5" s="17" t="str">
        <f>IF('Block 1'!$X$38="RPE8","RPE6","RPE7")</f>
        <v>RPE6</v>
      </c>
      <c r="G5" s="185"/>
      <c r="H5" s="116" t="s">
        <v>10</v>
      </c>
      <c r="I5" s="80" t="str">
        <f>IF(Profil!$B$37="SDT SUMO",IF(Profil!$XFA$43="Fin","Knee Pause Deadlift","Comp Deadlift"),IF(Profil!$XFA$43="Fin","Knee Pause Deadlift",IF(Profil!$XFA$41="Bassin","Low Pause Deadlift","Comp Deadlift")))</f>
        <v>Knee Pause Deadlift</v>
      </c>
      <c r="J5" s="10">
        <v>1</v>
      </c>
      <c r="K5" s="10">
        <v>1</v>
      </c>
      <c r="L5" s="10" t="str">
        <f>IF(Profil!$B$37="SDT TRADI",MROUND((0.76*Profil!$F$37),Profil!$F$12)&amp;"kg",IF(Profil!$XFB$46&gt;18,"RPE6",IF(I5="Knee Pause Deadlift",MROUND((0.74*Profil!$F$37),Profil!$F$12)&amp;"kg",MROUND((0.76*Profil!$F$37),Profil!$F$12)&amp;"kg")))</f>
        <v>0kg</v>
      </c>
      <c r="M5" s="186"/>
      <c r="N5" s="2"/>
      <c r="O5" s="19" t="str">
        <f>IF(Profil!$XFA$19="G","Tempo 3:0:0 Squat",IF(Profil!$XFA$19="GM","Tempo 3:0:0 HB Squat",IF(Profil!$XFA$19="HD","Pin Squat",IF(Profil!$XFA$21="Bas","Pause Squat","Comp Squat"))))</f>
        <v>Comp Squat</v>
      </c>
      <c r="P5" s="10">
        <v>1</v>
      </c>
      <c r="Q5" s="10">
        <v>2</v>
      </c>
      <c r="R5" s="17" t="str">
        <f>IF(Profil!$XFC$19="GOOD","RPE6","RPE5")</f>
        <v>RPE6</v>
      </c>
      <c r="S5" s="185"/>
      <c r="T5" s="116" t="s">
        <v>10</v>
      </c>
      <c r="U5" s="9" t="s">
        <v>2</v>
      </c>
      <c r="V5" s="10">
        <v>1</v>
      </c>
      <c r="W5" s="57">
        <v>1</v>
      </c>
      <c r="X5" s="57" t="str">
        <f>IF(Profil!$XFB$23&gt;13,"RPE7","RPE8")</f>
        <v>RPE7</v>
      </c>
      <c r="Y5" s="182"/>
      <c r="Z5" s="116" t="s">
        <v>10</v>
      </c>
      <c r="AA5" s="1"/>
    </row>
    <row r="6" spans="1:27" ht="15" customHeight="1" x14ac:dyDescent="0.25">
      <c r="A6" s="1"/>
      <c r="B6" s="5"/>
      <c r="C6" s="9"/>
      <c r="D6" s="57">
        <f>IF(Profil!$XFB$23&lt;10,2,3)</f>
        <v>3</v>
      </c>
      <c r="E6" s="10">
        <v>5</v>
      </c>
      <c r="F6" s="22" t="str">
        <f>MROUND((0.75*Profil!$F$15),Profil!$F$12)&amp;"kg"</f>
        <v>0kg</v>
      </c>
      <c r="G6" s="129"/>
      <c r="H6" s="116" t="s">
        <v>11</v>
      </c>
      <c r="I6" s="19" t="str">
        <f>IF(Profil!$XFA$41="Dos","Pause Deadlift",IF(Profil!$XFA$41="Bassin","Tempo 3:0:3 Deadlift",IF(Profil!$XFA$41="Genoux","Tempo 3:0:3 Deadlift","")))</f>
        <v/>
      </c>
      <c r="J6" s="80">
        <f>IF(Profil!$B$37="SDT TRADI",2,IF(Profil!$XFB$46&gt;20,3,2))</f>
        <v>2</v>
      </c>
      <c r="K6" s="74">
        <f>IF(Profil!$XFA$41="Dos",5,IF(Profil!$XFA$41="Bassin",4,IF(Profil!$XFA$41="Genoux",4,IF(Profil!$XFA$43="Fin",4,5))))</f>
        <v>4</v>
      </c>
      <c r="L6" s="22" t="str">
        <f>IF(Profil!$XFA$41="Dos",MROUND((0.68*Profil!$F$37),Profil!$F$12)&amp;"kg",IF(Profil!$XFA$41="Bassin",MROUND((0.67*Profil!$F$37),Profil!$F$12)&amp;"kg",IF(Profil!$XFA$41="Genoux",MROUND((0.67*Profil!$F$37),Profil!$F$12)&amp;"kg",IF(Profil!$XFA$43="Fin",MROUND((0.7*Profil!$F$37),Profil!$F$12)&amp;"kg",MROUND((0.72*Profil!$F$37),Profil!$F$12)&amp;"kg"))))</f>
        <v>0kg</v>
      </c>
      <c r="M6" s="125"/>
      <c r="N6" s="2"/>
      <c r="O6" s="19" t="str">
        <f>IF(Profil!$XFA$19="G","(Contrôle genoux)",IF(Profil!$XFA$19="GM","(Reste vertical sur poussée)",IF(Profil!$XFA$19="HD","(Tension haut du dos dans pause)",IF(Profil!$XFA$21="Bas","(Max de tension en bas)",""))))</f>
        <v/>
      </c>
      <c r="P6" s="57">
        <f>IF(Profil!$XFB$23&lt;20,2,3)</f>
        <v>2</v>
      </c>
      <c r="Q6" s="10">
        <v>4</v>
      </c>
      <c r="R6" s="11">
        <v>-0.12</v>
      </c>
      <c r="S6" s="129"/>
      <c r="T6" s="116" t="s">
        <v>11</v>
      </c>
      <c r="U6" s="9"/>
      <c r="V6" s="57" t="str">
        <f>IF(Profil!$XFB$23&gt;13,"3","4")</f>
        <v>3</v>
      </c>
      <c r="W6" s="10">
        <v>3</v>
      </c>
      <c r="X6" s="22" t="str">
        <f>MROUND((0.79*Profil!$F$15),Profil!$F$12)&amp;"kg"</f>
        <v>0kg</v>
      </c>
      <c r="Y6" s="131"/>
      <c r="Z6" s="116" t="s">
        <v>11</v>
      </c>
      <c r="AA6" s="1"/>
    </row>
    <row r="7" spans="1:27" ht="15" customHeight="1" x14ac:dyDescent="0.25">
      <c r="A7" s="1"/>
      <c r="B7" s="5"/>
      <c r="C7" s="35" t="s">
        <v>0</v>
      </c>
      <c r="D7" s="36">
        <v>1</v>
      </c>
      <c r="E7" s="36">
        <v>4</v>
      </c>
      <c r="F7" s="37" t="str">
        <f>IF(Profil!$XFB$34&lt;16,"RPE7","RPE8")</f>
        <v>RPE8</v>
      </c>
      <c r="G7" s="179"/>
      <c r="H7" s="116" t="s">
        <v>13</v>
      </c>
      <c r="I7" s="43" t="s">
        <v>0</v>
      </c>
      <c r="J7" s="36">
        <f>IF(Profil!$XFC$30="GOOD",'Block 1'!$J$7,'Block 1'!$J$7-1)</f>
        <v>4</v>
      </c>
      <c r="K7" s="92">
        <f>IF(Profil!$D$8="FEMME",6,5)</f>
        <v>5</v>
      </c>
      <c r="L7" s="24" t="str">
        <f>MROUND((0.76*Profil!$F$26),Profil!$F$12)&amp;"kg"</f>
        <v>0kg</v>
      </c>
      <c r="M7" s="126"/>
      <c r="N7" s="2"/>
      <c r="O7" s="21" t="s">
        <v>26</v>
      </c>
      <c r="P7" s="82">
        <f>IF(Profil!$XFB$34&gt;20,2,1)</f>
        <v>1</v>
      </c>
      <c r="Q7" s="12">
        <v>1</v>
      </c>
      <c r="R7" s="18" t="str">
        <f>IF(Profil!$XFC$30="GOOD",IF(Profil!$XFB$34&lt;12,"RPE6",IF(Profil!$XFB$34&lt;17,"RPE6,5",IF(Profil!$XFB$34&lt;22,"RPE7",IF(Profil!$XFB$34&lt;27,"RPE7,5","RPE8")))),IF(Profil!$XFB$34&lt;12,"RPE5",IF(Profil!$XFB$34&lt;17,"RPE5,5",IF(Profil!$XFB$34&lt;22,"RPE6",IF(Profil!$XFB$34&lt;27,"RPE6,5","RPE7")))))</f>
        <v>RPE6,5</v>
      </c>
      <c r="S7" s="187"/>
      <c r="T7" s="116" t="s">
        <v>13</v>
      </c>
      <c r="U7" s="20" t="s">
        <v>3</v>
      </c>
      <c r="V7" s="12">
        <v>1</v>
      </c>
      <c r="W7" s="82">
        <v>1</v>
      </c>
      <c r="X7" s="82" t="str">
        <f>IF(Profil!$XFB$45&gt;13,"RPE7","RPE8")</f>
        <v>RPE7</v>
      </c>
      <c r="Y7" s="183"/>
      <c r="Z7" s="116" t="s">
        <v>13</v>
      </c>
      <c r="AA7" s="1"/>
    </row>
    <row r="8" spans="1:27" ht="15" customHeight="1" x14ac:dyDescent="0.25">
      <c r="A8" s="1"/>
      <c r="B8" s="5"/>
      <c r="C8" s="38"/>
      <c r="D8" s="36">
        <f>IF(Profil!$XFB$34&lt;16,2,3)</f>
        <v>3</v>
      </c>
      <c r="E8" s="36">
        <v>6</v>
      </c>
      <c r="F8" s="73">
        <v>-0.12</v>
      </c>
      <c r="G8" s="127"/>
      <c r="H8" s="116" t="s">
        <v>15</v>
      </c>
      <c r="I8" s="26"/>
      <c r="J8" s="24"/>
      <c r="K8" s="24"/>
      <c r="L8" s="24"/>
      <c r="M8" s="126"/>
      <c r="N8" s="2"/>
      <c r="O8" s="21" t="str">
        <f>IF(Profil!$XFA$30="Pause","",IF(Profil!$XFA$30="Traj","Double Pause Bench","Tshirt Pause Bench"))</f>
        <v>Tshirt Pause Bench</v>
      </c>
      <c r="P8" s="69" t="str">
        <f>IF(Profil!$XFC$30="GOOD",'Block 1'!$P$8,'Block 1'!$P$8+1)</f>
        <v>3</v>
      </c>
      <c r="Q8" s="69" t="str">
        <f>IF(Profil!$XFA$30="Pause","3",IF(Profil!$XFA$30="Traj","5","6"))</f>
        <v>6</v>
      </c>
      <c r="R8" s="69" t="str">
        <f>IF(Profil!$XFA$30="Pause",MROUND((0.78*Profil!$F$26),Profil!$F$12)&amp;"kg",IF(Profil!$XFA$30="Traj",MROUND((0.66*Profil!$F$26),Profil!$F$12)&amp;"kg",MROUND((0.73*Profil!$F$26),Profil!$F$12)&amp;"kg"))</f>
        <v>0kg</v>
      </c>
      <c r="S8" s="127"/>
      <c r="T8" s="116" t="s">
        <v>15</v>
      </c>
      <c r="U8" s="8"/>
      <c r="V8" s="36" t="str">
        <f>IF(Profil!$XFB$46&gt;16,"3","4")</f>
        <v>4</v>
      </c>
      <c r="W8" s="12">
        <v>3</v>
      </c>
      <c r="X8" s="93" t="str">
        <f>IF(Profil!$B$37="SDT TRADI",MROUND((0.78*Profil!$F$37),Profil!$F$12)&amp;"kg",MROUND((0.79*Profil!$F$37),Profil!$F$12)&amp;"kg")</f>
        <v>0kg</v>
      </c>
      <c r="Y8" s="132"/>
      <c r="Z8" s="116" t="s">
        <v>15</v>
      </c>
      <c r="AA8" s="1"/>
    </row>
    <row r="9" spans="1:27" ht="15" customHeight="1" x14ac:dyDescent="0.25">
      <c r="A9" s="1"/>
      <c r="B9" s="5"/>
      <c r="C9" s="9" t="s">
        <v>1</v>
      </c>
      <c r="D9" s="10">
        <v>3</v>
      </c>
      <c r="E9" s="10">
        <v>10</v>
      </c>
      <c r="F9" s="17" t="s">
        <v>12</v>
      </c>
      <c r="G9" s="128"/>
      <c r="H9" s="116" t="s">
        <v>17</v>
      </c>
      <c r="I9" s="44" t="s">
        <v>65</v>
      </c>
      <c r="J9" s="45">
        <v>3</v>
      </c>
      <c r="K9" s="46" t="s">
        <v>16</v>
      </c>
      <c r="L9" s="47"/>
      <c r="M9" s="126"/>
      <c r="N9" s="2"/>
      <c r="O9" s="19" t="s">
        <v>80</v>
      </c>
      <c r="P9" s="10">
        <v>3</v>
      </c>
      <c r="Q9" s="10">
        <v>10</v>
      </c>
      <c r="R9" s="17" t="s">
        <v>12</v>
      </c>
      <c r="S9" s="128"/>
      <c r="T9" s="116" t="s">
        <v>17</v>
      </c>
      <c r="U9" s="9" t="s">
        <v>0</v>
      </c>
      <c r="V9" s="10">
        <v>1</v>
      </c>
      <c r="W9" s="57">
        <v>1</v>
      </c>
      <c r="X9" s="57" t="str">
        <f>IF(Profil!$XFB$34&gt;13,"RPE8","RPE7")</f>
        <v>RPE8</v>
      </c>
      <c r="Y9" s="184"/>
      <c r="Z9" s="116" t="s">
        <v>17</v>
      </c>
      <c r="AA9" s="1"/>
    </row>
    <row r="10" spans="1:27" ht="15" customHeight="1" x14ac:dyDescent="0.25">
      <c r="A10" s="208" t="s">
        <v>18</v>
      </c>
      <c r="B10" s="5"/>
      <c r="C10" s="20" t="s">
        <v>67</v>
      </c>
      <c r="D10" s="12">
        <v>3</v>
      </c>
      <c r="E10" s="12">
        <v>9</v>
      </c>
      <c r="F10" s="18" t="s">
        <v>12</v>
      </c>
      <c r="G10" s="128"/>
      <c r="H10" s="115"/>
      <c r="I10" s="23" t="s">
        <v>22</v>
      </c>
      <c r="J10" s="53">
        <v>3</v>
      </c>
      <c r="K10" s="54" t="s">
        <v>16</v>
      </c>
      <c r="L10" s="55"/>
      <c r="M10" s="126"/>
      <c r="N10" s="1"/>
      <c r="O10" s="20" t="str">
        <f>IF(Profil!$XFA$49="Dos","Gainage Lesté",IF(Profil!$XFA$49="Ep","Bear Push Ups",IF(Profil!$XFA$49="Coud","Curl Poulie Tempo",IF(Profil!$XFA$49="Poig","Curl Pronation",IF(Profil!$XFA$49="Bass","Cossack Squat",IF(Profil!$XFA$49="Genx","Spanish Squat","Extensions mollet"))))))</f>
        <v>Extensions mollet</v>
      </c>
      <c r="P10" s="12">
        <v>3</v>
      </c>
      <c r="Q10" s="12"/>
      <c r="R10" s="12"/>
      <c r="S10" s="128"/>
      <c r="T10" s="115"/>
      <c r="U10" s="9"/>
      <c r="V10" s="80">
        <f>IF(Profil!$XFB$34&gt;15,4,3)</f>
        <v>4</v>
      </c>
      <c r="W10" s="64">
        <v>4</v>
      </c>
      <c r="X10" s="66" t="str">
        <f>MROUND((0.81*Profil!$F$26),Profil!$F$12)&amp;"kg"</f>
        <v>0kg</v>
      </c>
      <c r="Y10" s="128"/>
      <c r="Z10" s="115"/>
      <c r="AA10" s="1"/>
    </row>
    <row r="11" spans="1:27" ht="15" customHeight="1" thickBot="1" x14ac:dyDescent="0.3">
      <c r="A11" s="209"/>
      <c r="B11" s="5"/>
      <c r="C11" s="40" t="s">
        <v>19</v>
      </c>
      <c r="D11" s="41">
        <v>3</v>
      </c>
      <c r="E11" s="42" t="s">
        <v>20</v>
      </c>
      <c r="F11" s="41"/>
      <c r="G11" s="128"/>
      <c r="H11" s="117"/>
      <c r="I11" s="56" t="s">
        <v>66</v>
      </c>
      <c r="J11" s="57">
        <v>3</v>
      </c>
      <c r="K11" s="58"/>
      <c r="L11" s="59"/>
      <c r="M11" s="126"/>
      <c r="N11" s="2"/>
      <c r="O11" s="13" t="s">
        <v>21</v>
      </c>
      <c r="P11" s="14">
        <v>3</v>
      </c>
      <c r="Q11" s="15"/>
      <c r="R11" s="14"/>
      <c r="S11" s="128"/>
      <c r="T11" s="117"/>
      <c r="U11" s="70" t="str">
        <f>IF(Profil!$XFA$32="Bas","2ct Low Pin Press",IF(Profil!$XFA$32="Milieu","Larsen Press","Close Grip Bench"))</f>
        <v>Close Grip Bench</v>
      </c>
      <c r="V11" s="67">
        <v>2</v>
      </c>
      <c r="W11" s="71">
        <f>IF(Profil!$XFA$32="Bas",4,6)</f>
        <v>6</v>
      </c>
      <c r="X11" s="67" t="str">
        <f>IF(Profil!$XFA$32="Bas",MROUND((0.69*Profil!$F$26),Profil!$F$12)&amp;"kg",MROUND((0.67*Profil!$F$26),Profil!$F$12)&amp;"kg")</f>
        <v>0kg</v>
      </c>
      <c r="Y11" s="128"/>
      <c r="Z11" s="117"/>
      <c r="AA11" s="1"/>
    </row>
    <row r="12" spans="1:27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 customHeight="1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.75" customHeight="1" x14ac:dyDescent="0.25">
      <c r="A14" s="1"/>
      <c r="B14" s="4"/>
      <c r="C14" s="223" t="str">
        <f>IF(Profil!$H$51="","SEANCE 21",I14-2)</f>
        <v>SEANCE 21</v>
      </c>
      <c r="D14" s="224"/>
      <c r="E14" s="224"/>
      <c r="F14" s="224"/>
      <c r="G14" s="224"/>
      <c r="H14" s="114"/>
      <c r="I14" s="223" t="str">
        <f>IF(Profil!$H$51="","SEANCE 22",O14-1)</f>
        <v>SEANCE 22</v>
      </c>
      <c r="J14" s="224"/>
      <c r="K14" s="224"/>
      <c r="L14" s="224"/>
      <c r="M14" s="224"/>
      <c r="N14" s="27"/>
      <c r="O14" s="225" t="str">
        <f>IF(Profil!$H$51="","SEANCE 23",U14-2)</f>
        <v>SEANCE 23</v>
      </c>
      <c r="P14" s="226"/>
      <c r="Q14" s="226"/>
      <c r="R14" s="226"/>
      <c r="S14" s="226"/>
      <c r="T14" s="114"/>
      <c r="U14" s="217" t="str">
        <f>IF(Profil!$H$51="","SEANCE 24",U25-7)</f>
        <v>SEANCE 24</v>
      </c>
      <c r="V14" s="227"/>
      <c r="W14" s="227"/>
      <c r="X14" s="227"/>
      <c r="Y14" s="227"/>
      <c r="Z14" s="114"/>
      <c r="AA14" s="1"/>
    </row>
    <row r="15" spans="1:27" ht="15" customHeight="1" x14ac:dyDescent="0.25">
      <c r="A15" s="1"/>
      <c r="B15" s="5"/>
      <c r="C15" s="6" t="s">
        <v>4</v>
      </c>
      <c r="D15" s="7" t="s">
        <v>5</v>
      </c>
      <c r="E15" s="7" t="s">
        <v>6</v>
      </c>
      <c r="F15" s="7" t="s">
        <v>7</v>
      </c>
      <c r="G15" s="7" t="s">
        <v>8</v>
      </c>
      <c r="H15" s="115"/>
      <c r="I15" s="6" t="s">
        <v>4</v>
      </c>
      <c r="J15" s="7" t="s">
        <v>5</v>
      </c>
      <c r="K15" s="16" t="s">
        <v>6</v>
      </c>
      <c r="L15" s="7" t="s">
        <v>7</v>
      </c>
      <c r="M15" s="7" t="s">
        <v>8</v>
      </c>
      <c r="N15" s="2"/>
      <c r="O15" s="6" t="s">
        <v>4</v>
      </c>
      <c r="P15" s="7" t="s">
        <v>5</v>
      </c>
      <c r="Q15" s="7" t="s">
        <v>6</v>
      </c>
      <c r="R15" s="7" t="s">
        <v>7</v>
      </c>
      <c r="S15" s="7" t="s">
        <v>8</v>
      </c>
      <c r="T15" s="115"/>
      <c r="U15" s="6" t="s">
        <v>4</v>
      </c>
      <c r="V15" s="7" t="s">
        <v>5</v>
      </c>
      <c r="W15" s="7" t="s">
        <v>6</v>
      </c>
      <c r="X15" s="7" t="s">
        <v>7</v>
      </c>
      <c r="Y15" s="7" t="s">
        <v>8</v>
      </c>
      <c r="Z15" s="115"/>
      <c r="AA15" s="1"/>
    </row>
    <row r="16" spans="1:27" ht="15" customHeight="1" x14ac:dyDescent="0.25">
      <c r="A16" s="1"/>
      <c r="B16" s="5"/>
      <c r="C16" s="19" t="s">
        <v>2</v>
      </c>
      <c r="D16" s="10">
        <v>1</v>
      </c>
      <c r="E16" s="10">
        <v>3</v>
      </c>
      <c r="F16" s="57" t="str">
        <f>IF(Profil!$XFC$19="GOOD","RPE7","RPE6")</f>
        <v>RPE7</v>
      </c>
      <c r="G16" s="185"/>
      <c r="H16" s="116" t="s">
        <v>10</v>
      </c>
      <c r="I16" s="80" t="str">
        <f>IF(Profil!$B$37="SDT SUMO",IF(Profil!$XFA$43="Fin","Knee Pause Deadlift","Comp Deadlift"),IF(Profil!$XFA$43="Fin","Knee Pause Deadlift",IF(Profil!$XFA$41="Bassin","Low Pause Deadlift","Comp Deadlift")))</f>
        <v>Knee Pause Deadlift</v>
      </c>
      <c r="J16" s="10">
        <v>1</v>
      </c>
      <c r="K16" s="10">
        <v>1</v>
      </c>
      <c r="L16" s="10" t="str">
        <f>IF(Profil!$B$37="SDT TRADI",MROUND((0.78*Profil!$F$37),Profil!$F$12)&amp;"kg",IF(Profil!$XFB$46&gt;18,"RPE6",IF(I5="Knee Pause Deadlift",MROUND((0.76*Profil!$F$37),Profil!$F$12)&amp;"kg",MROUND((0.78*Profil!$F$37),Profil!$F$12)&amp;"kg")))</f>
        <v>0kg</v>
      </c>
      <c r="M16" s="186"/>
      <c r="N16" s="2"/>
      <c r="O16" s="19" t="str">
        <f>IF(Profil!$XFA$19="G","Tempo 3:0:0 Squat",IF(Profil!$XFA$19="GM","Tempo 3:0:0 HB Squat",IF(Profil!$XFA$19="HD","Pin Squat",IF(Profil!$XFA$21="Bas","Pause Squat","Comp Squat"))))</f>
        <v>Comp Squat</v>
      </c>
      <c r="P16" s="10">
        <v>1</v>
      </c>
      <c r="Q16" s="10">
        <v>1</v>
      </c>
      <c r="R16" s="17" t="str">
        <f>IF(Profil!$XFC$19="GOOD","RPE6","RPE5")</f>
        <v>RPE6</v>
      </c>
      <c r="S16" s="185"/>
      <c r="T16" s="116" t="s">
        <v>10</v>
      </c>
      <c r="U16" s="9" t="s">
        <v>2</v>
      </c>
      <c r="V16" s="10">
        <v>1</v>
      </c>
      <c r="W16" s="57">
        <v>1</v>
      </c>
      <c r="X16" s="57" t="str">
        <f>IF(Profil!$XFB$23&gt;13,"RPE8","RPE7")</f>
        <v>RPE8</v>
      </c>
      <c r="Y16" s="182"/>
      <c r="Z16" s="116" t="s">
        <v>10</v>
      </c>
      <c r="AA16" s="1"/>
    </row>
    <row r="17" spans="1:27" ht="15" customHeight="1" x14ac:dyDescent="0.25">
      <c r="A17" s="1"/>
      <c r="B17" s="5"/>
      <c r="C17" s="9"/>
      <c r="D17" s="57">
        <f>IF(Profil!$XFB$23&lt;10,2,3)</f>
        <v>3</v>
      </c>
      <c r="E17" s="10">
        <v>4</v>
      </c>
      <c r="F17" s="22" t="str">
        <f>MROUND((0.77*Profil!$F$15),Profil!$F$12)&amp;"kg"</f>
        <v>0kg</v>
      </c>
      <c r="G17" s="129"/>
      <c r="H17" s="116" t="s">
        <v>11</v>
      </c>
      <c r="I17" s="19" t="str">
        <f>IF(Profil!$XFA$41="Dos","Pause Deadlift",IF(Profil!$XFA$41="Bassin","Tempo 3:0:3 Deadlift",IF(Profil!$XFA$41="Genoux","Tempo 3:0:3 Deadlift","")))</f>
        <v/>
      </c>
      <c r="J17" s="80">
        <f>IF(Profil!$B$37="SDT TRADI",2,IF(Profil!$XFB$46&gt;20,3,2))</f>
        <v>2</v>
      </c>
      <c r="K17" s="74">
        <f>IF(Profil!$XFA$41="Dos",4,IF(Profil!$XFA$41="Bassin",3,IF(Profil!$XFA$41="Genoux",3,IF(Profil!$XFA$43="Fin",4,4))))</f>
        <v>4</v>
      </c>
      <c r="L17" s="22" t="str">
        <f>IF(Profil!$XFA$41="Dos",MROUND((0.7*Profil!$F$37),Profil!$F$12)&amp;"kg",IF(Profil!$XFA$41="Bassin",MROUND((0.69*Profil!$F$37),Profil!$F$12)&amp;"kg",IF(Profil!$XFA$41="Genoux",MROUND((0.69*Profil!$F$37),Profil!$F$12)&amp;"kg",IF(Profil!$XFA$43="Fin",MROUND((0.72*Profil!$F$37),Profil!$F$12)&amp;"kg",MROUND((0.74*Profil!$F$37),Profil!$F$12)&amp;"kg"))))</f>
        <v>0kg</v>
      </c>
      <c r="M17" s="125"/>
      <c r="N17" s="2"/>
      <c r="O17" s="19" t="str">
        <f>IF(Profil!$XFA$19="G","(Contrôle genoux)",IF(Profil!$XFA$19="GM","(Reste vertical sur poussée)",IF(Profil!$XFA$19="HD","(Tension haut du dos dans pause)",IF(Profil!$XFA$21="Bas","(Max de tension en bas)",""))))</f>
        <v/>
      </c>
      <c r="P17" s="57">
        <f>IF(Profil!$XFB$23&lt;20,3,4)</f>
        <v>3</v>
      </c>
      <c r="Q17" s="10">
        <v>3</v>
      </c>
      <c r="R17" s="11">
        <v>-0.13</v>
      </c>
      <c r="S17" s="129"/>
      <c r="T17" s="116" t="s">
        <v>11</v>
      </c>
      <c r="U17" s="9"/>
      <c r="V17" s="57" t="str">
        <f>IF(Profil!$XFB$23&gt;13,"4","3")</f>
        <v>4</v>
      </c>
      <c r="W17" s="10">
        <v>3</v>
      </c>
      <c r="X17" s="22" t="str">
        <f>MROUND((0.81*Profil!$F$15),Profil!$F$12)&amp;"kg"</f>
        <v>0kg</v>
      </c>
      <c r="Y17" s="131"/>
      <c r="Z17" s="116" t="s">
        <v>11</v>
      </c>
      <c r="AA17" s="1"/>
    </row>
    <row r="18" spans="1:27" ht="15" customHeight="1" x14ac:dyDescent="0.25">
      <c r="A18" s="1"/>
      <c r="B18" s="5"/>
      <c r="C18" s="35" t="s">
        <v>0</v>
      </c>
      <c r="D18" s="36">
        <v>1</v>
      </c>
      <c r="E18" s="36">
        <v>3</v>
      </c>
      <c r="F18" s="37" t="str">
        <f>IF(Profil!$XFB$34&lt;16,"RPE6","RPE7")</f>
        <v>RPE7</v>
      </c>
      <c r="G18" s="179"/>
      <c r="H18" s="116" t="s">
        <v>13</v>
      </c>
      <c r="I18" s="43" t="s">
        <v>0</v>
      </c>
      <c r="J18" s="36">
        <f>J7+1</f>
        <v>5</v>
      </c>
      <c r="K18" s="25">
        <f>K7-1</f>
        <v>4</v>
      </c>
      <c r="L18" s="24" t="str">
        <f>MROUND((0.78*Profil!$F$26),Profil!$F$12)&amp;"kg"</f>
        <v>0kg</v>
      </c>
      <c r="M18" s="126"/>
      <c r="N18" s="2"/>
      <c r="O18" s="21" t="s">
        <v>26</v>
      </c>
      <c r="P18" s="82">
        <f>IF(Profil!$XFB$34&gt;20,2,1)</f>
        <v>1</v>
      </c>
      <c r="Q18" s="12">
        <v>1</v>
      </c>
      <c r="R18" s="18" t="str">
        <f>IF(Profil!$XFC$30="GOOD",IF(Profil!$XFB$34&lt;12,"RPE6,5",IF(Profil!$XFB$34&lt;17,"RPE7",IF(Profil!$XFB$34&lt;22,"RPE7,5",IF(Profil!$XFB$34&lt;27,"RPE8","RPE8,5")))),IF(Profil!$XFB$34&lt;12,"RPE5,5",IF(Profil!$XFB$34&lt;17,"RPE6",IF(Profil!$XFB$34&lt;22,"RPE6,5",IF(Profil!$XFB$34&lt;27,"RPE7","RPE7,5")))))</f>
        <v>RPE7</v>
      </c>
      <c r="S18" s="187"/>
      <c r="T18" s="116" t="s">
        <v>13</v>
      </c>
      <c r="U18" s="20" t="s">
        <v>3</v>
      </c>
      <c r="V18" s="12">
        <v>1</v>
      </c>
      <c r="W18" s="36">
        <v>1</v>
      </c>
      <c r="X18" s="36" t="str">
        <f>IF(Profil!$XFB$45&gt;13,"RPE8","RPE7")</f>
        <v>RPE8</v>
      </c>
      <c r="Y18" s="183"/>
      <c r="Z18" s="116" t="s">
        <v>13</v>
      </c>
      <c r="AA18" s="1"/>
    </row>
    <row r="19" spans="1:27" ht="15" customHeight="1" x14ac:dyDescent="0.25">
      <c r="A19" s="1"/>
      <c r="B19" s="5"/>
      <c r="C19" s="38"/>
      <c r="D19" s="36">
        <f>IF(Profil!$XFB$34&lt;16,2,3)</f>
        <v>3</v>
      </c>
      <c r="E19" s="36">
        <v>5</v>
      </c>
      <c r="F19" s="73">
        <v>-0.12</v>
      </c>
      <c r="G19" s="127"/>
      <c r="H19" s="116" t="s">
        <v>15</v>
      </c>
      <c r="I19" s="26"/>
      <c r="J19" s="24"/>
      <c r="K19" s="24"/>
      <c r="L19" s="24"/>
      <c r="M19" s="126"/>
      <c r="N19" s="2"/>
      <c r="O19" s="21" t="str">
        <f>IF(Profil!$XFA$30="Pause","",IF(Profil!$XFA$30="Traj","Double Pause Bench","Tshirt Pause Bench"))</f>
        <v>Tshirt Pause Bench</v>
      </c>
      <c r="P19" s="69" t="str">
        <f>IF(Profil!$XFB$34&gt;20,$P$8+1,$P$8)</f>
        <v>3</v>
      </c>
      <c r="Q19" s="69" t="str">
        <f>IF(Profil!$XFA$30="Pause","3",IF(Profil!$XFA$30="Traj","5","6"))</f>
        <v>6</v>
      </c>
      <c r="R19" s="69" t="str">
        <f>IF(Profil!$XFA$30="Pause",MROUND((0.8*Profil!$F$26),Profil!$F$12)&amp;"kg",IF(Profil!$XFA$30="Traj",MROUND((0.68*Profil!$F$26),Profil!$F$12)&amp;"kg",MROUND((0.75*Profil!$F$26),Profil!$F$12)&amp;"kg"))</f>
        <v>0kg</v>
      </c>
      <c r="S19" s="127"/>
      <c r="T19" s="116" t="s">
        <v>15</v>
      </c>
      <c r="U19" s="8"/>
      <c r="V19" s="36" t="str">
        <f>IF(Profil!$XFB$46&gt;16,"4","3")</f>
        <v>3</v>
      </c>
      <c r="W19" s="12">
        <v>3</v>
      </c>
      <c r="X19" s="93" t="str">
        <f>IF(Profil!$B$37="SDT TRADI",MROUND((0.8*Profil!$F$37),Profil!$F$12)&amp;"kg",MROUND((0.81*Profil!$F$37),Profil!$F$12)&amp;"kg")</f>
        <v>0kg</v>
      </c>
      <c r="Y19" s="132"/>
      <c r="Z19" s="116" t="s">
        <v>15</v>
      </c>
      <c r="AA19" s="1"/>
    </row>
    <row r="20" spans="1:27" ht="15" customHeight="1" x14ac:dyDescent="0.25">
      <c r="A20" s="1"/>
      <c r="B20" s="5"/>
      <c r="C20" s="9" t="s">
        <v>1</v>
      </c>
      <c r="D20" s="10">
        <v>3</v>
      </c>
      <c r="E20" s="10">
        <v>10</v>
      </c>
      <c r="F20" s="17" t="s">
        <v>12</v>
      </c>
      <c r="G20" s="128"/>
      <c r="H20" s="116" t="s">
        <v>17</v>
      </c>
      <c r="I20" s="44" t="s">
        <v>65</v>
      </c>
      <c r="J20" s="45">
        <v>3</v>
      </c>
      <c r="K20" s="46" t="s">
        <v>16</v>
      </c>
      <c r="L20" s="47"/>
      <c r="M20" s="126"/>
      <c r="N20" s="2"/>
      <c r="O20" s="19" t="s">
        <v>80</v>
      </c>
      <c r="P20" s="10">
        <v>3</v>
      </c>
      <c r="Q20" s="10">
        <v>10</v>
      </c>
      <c r="R20" s="17" t="s">
        <v>12</v>
      </c>
      <c r="S20" s="128"/>
      <c r="T20" s="116" t="s">
        <v>17</v>
      </c>
      <c r="U20" s="9" t="s">
        <v>0</v>
      </c>
      <c r="V20" s="10">
        <v>1</v>
      </c>
      <c r="W20" s="57">
        <v>1</v>
      </c>
      <c r="X20" s="57" t="str">
        <f>IF(Profil!$XFB$34&gt;13,"RPE9","RPE8")</f>
        <v>RPE9</v>
      </c>
      <c r="Y20" s="184"/>
      <c r="Z20" s="116" t="s">
        <v>17</v>
      </c>
      <c r="AA20" s="1"/>
    </row>
    <row r="21" spans="1:27" ht="15" customHeight="1" x14ac:dyDescent="0.25">
      <c r="A21" s="208" t="s">
        <v>23</v>
      </c>
      <c r="B21" s="5"/>
      <c r="C21" s="20" t="s">
        <v>67</v>
      </c>
      <c r="D21" s="12">
        <v>3</v>
      </c>
      <c r="E21" s="12">
        <v>8</v>
      </c>
      <c r="F21" s="18" t="s">
        <v>12</v>
      </c>
      <c r="G21" s="128"/>
      <c r="H21" s="115"/>
      <c r="I21" s="23" t="s">
        <v>22</v>
      </c>
      <c r="J21" s="53">
        <v>3</v>
      </c>
      <c r="K21" s="54" t="s">
        <v>16</v>
      </c>
      <c r="L21" s="55"/>
      <c r="M21" s="126"/>
      <c r="N21" s="1"/>
      <c r="O21" s="20" t="str">
        <f>IF(Profil!$XFA$49="Dos","Gainage Lesté",IF(Profil!$XFA$49="Ep","Bear Push Ups",IF(Profil!$XFA$49="Coud","Curl Poulie Tempo",IF(Profil!$XFA$49="Poig","Curl Pronation",IF(Profil!$XFA$49="Bass","Cossack Squat",IF(Profil!$XFA$49="Genx","Spanish Squat","Extensions mollet"))))))</f>
        <v>Extensions mollet</v>
      </c>
      <c r="P21" s="12">
        <v>3</v>
      </c>
      <c r="Q21" s="12"/>
      <c r="R21" s="12"/>
      <c r="S21" s="128"/>
      <c r="T21" s="115"/>
      <c r="U21" s="9"/>
      <c r="V21" s="80">
        <f>IF(Profil!$XFB$34&gt;15,5,4)</f>
        <v>5</v>
      </c>
      <c r="W21" s="64">
        <v>4</v>
      </c>
      <c r="X21" s="66" t="str">
        <f>MROUND((0.83*Profil!$F$26),Profil!$F$12)&amp;"kg"</f>
        <v>0kg</v>
      </c>
      <c r="Y21" s="128"/>
      <c r="Z21" s="115"/>
      <c r="AA21" s="1"/>
    </row>
    <row r="22" spans="1:27" ht="15" customHeight="1" thickBot="1" x14ac:dyDescent="0.3">
      <c r="A22" s="209"/>
      <c r="B22" s="5"/>
      <c r="C22" s="40" t="s">
        <v>19</v>
      </c>
      <c r="D22" s="41">
        <v>3</v>
      </c>
      <c r="E22" s="42" t="s">
        <v>20</v>
      </c>
      <c r="F22" s="41"/>
      <c r="G22" s="128"/>
      <c r="H22" s="117"/>
      <c r="I22" s="56" t="s">
        <v>66</v>
      </c>
      <c r="J22" s="57">
        <v>3</v>
      </c>
      <c r="K22" s="58"/>
      <c r="L22" s="59"/>
      <c r="M22" s="126"/>
      <c r="N22" s="2"/>
      <c r="O22" s="13" t="s">
        <v>21</v>
      </c>
      <c r="P22" s="14">
        <v>3</v>
      </c>
      <c r="Q22" s="15"/>
      <c r="R22" s="14"/>
      <c r="S22" s="128"/>
      <c r="T22" s="117"/>
      <c r="U22" s="70" t="str">
        <f>IF(Profil!$XFA$32="Bas","2ct Low Pin Press",IF(Profil!$XFA$32="Milieu","Larsen Press","Close Grip Bench"))</f>
        <v>Close Grip Bench</v>
      </c>
      <c r="V22" s="67">
        <v>2</v>
      </c>
      <c r="W22" s="71">
        <f>IF(Profil!$XFA$32="Bas",4,6)</f>
        <v>6</v>
      </c>
      <c r="X22" s="67" t="str">
        <f>IF(Profil!$XFA$32="Bas",MROUND((0.71*Profil!$F$26),Profil!$F$12)&amp;"kg",MROUND((0.69*Profil!$F$26),Profil!$F$12)&amp;"kg")</f>
        <v>0kg</v>
      </c>
      <c r="Y22" s="128"/>
      <c r="Z22" s="117"/>
      <c r="AA22" s="1"/>
    </row>
    <row r="23" spans="1:27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 customHeight="1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.75" customHeight="1" x14ac:dyDescent="0.25">
      <c r="A25" s="1"/>
      <c r="B25" s="4"/>
      <c r="C25" s="223" t="str">
        <f>IF(Profil!$H$51="","SEANCE 25",I25-2)</f>
        <v>SEANCE 25</v>
      </c>
      <c r="D25" s="224"/>
      <c r="E25" s="224"/>
      <c r="F25" s="224"/>
      <c r="G25" s="224"/>
      <c r="H25" s="114"/>
      <c r="I25" s="223" t="str">
        <f>IF(Profil!$H$51="","SEANCE 26",O25-1)</f>
        <v>SEANCE 26</v>
      </c>
      <c r="J25" s="224"/>
      <c r="K25" s="224"/>
      <c r="L25" s="224"/>
      <c r="M25" s="224"/>
      <c r="N25" s="27"/>
      <c r="O25" s="225" t="str">
        <f>IF(Profil!$H$51="","SEANCE 27",U25-2)</f>
        <v>SEANCE 27</v>
      </c>
      <c r="P25" s="226"/>
      <c r="Q25" s="226"/>
      <c r="R25" s="226"/>
      <c r="S25" s="226"/>
      <c r="T25" s="114"/>
      <c r="U25" s="217" t="str">
        <f>IF(Profil!$H$51="","SEANCE 28",U36-7)</f>
        <v>SEANCE 28</v>
      </c>
      <c r="V25" s="227"/>
      <c r="W25" s="227"/>
      <c r="X25" s="227"/>
      <c r="Y25" s="227"/>
      <c r="Z25" s="114"/>
      <c r="AA25" s="1"/>
    </row>
    <row r="26" spans="1:27" ht="15" customHeight="1" x14ac:dyDescent="0.25">
      <c r="A26" s="1"/>
      <c r="B26" s="5"/>
      <c r="C26" s="6" t="s">
        <v>4</v>
      </c>
      <c r="D26" s="7" t="s">
        <v>5</v>
      </c>
      <c r="E26" s="7" t="s">
        <v>6</v>
      </c>
      <c r="F26" s="7" t="s">
        <v>7</v>
      </c>
      <c r="G26" s="7" t="s">
        <v>8</v>
      </c>
      <c r="H26" s="115"/>
      <c r="I26" s="6" t="s">
        <v>4</v>
      </c>
      <c r="J26" s="7" t="s">
        <v>5</v>
      </c>
      <c r="K26" s="7" t="s">
        <v>6</v>
      </c>
      <c r="L26" s="7" t="s">
        <v>7</v>
      </c>
      <c r="M26" s="7" t="s">
        <v>8</v>
      </c>
      <c r="N26" s="2"/>
      <c r="O26" s="6" t="s">
        <v>4</v>
      </c>
      <c r="P26" s="7" t="s">
        <v>5</v>
      </c>
      <c r="Q26" s="7" t="s">
        <v>6</v>
      </c>
      <c r="R26" s="7" t="s">
        <v>7</v>
      </c>
      <c r="S26" s="7" t="s">
        <v>8</v>
      </c>
      <c r="T26" s="115"/>
      <c r="U26" s="6" t="s">
        <v>4</v>
      </c>
      <c r="V26" s="7" t="s">
        <v>5</v>
      </c>
      <c r="W26" s="7" t="s">
        <v>6</v>
      </c>
      <c r="X26" s="7" t="s">
        <v>7</v>
      </c>
      <c r="Y26" s="7" t="s">
        <v>8</v>
      </c>
      <c r="Z26" s="115"/>
      <c r="AA26" s="1"/>
    </row>
    <row r="27" spans="1:27" ht="15" customHeight="1" x14ac:dyDescent="0.25">
      <c r="A27" s="1"/>
      <c r="B27" s="5"/>
      <c r="C27" s="19" t="s">
        <v>2</v>
      </c>
      <c r="D27" s="10">
        <v>1</v>
      </c>
      <c r="E27" s="10">
        <v>2</v>
      </c>
      <c r="F27" s="57" t="str">
        <f>IF(Profil!$XFC$19="GOOD","RPE7","RPE6")</f>
        <v>RPE7</v>
      </c>
      <c r="G27" s="185"/>
      <c r="H27" s="116" t="s">
        <v>10</v>
      </c>
      <c r="I27" s="80" t="str">
        <f>IF(Profil!$B$37="SDT SUMO",IF(Profil!$XFA$43="Fin","Knee Pause Deadlift","Comp Deadlift"),IF(Profil!$XFA$43="Fin","Knee Pause Deadlift",IF(Profil!$XFA$41="Bassin","Low Pause Deadlift","Comp Deadlift")))</f>
        <v>Knee Pause Deadlift</v>
      </c>
      <c r="J27" s="10">
        <v>1</v>
      </c>
      <c r="K27" s="10">
        <v>1</v>
      </c>
      <c r="L27" s="10" t="str">
        <f>IF(Profil!$B$37="SDT TRADI",MROUND((0.8*Profil!$F$37),Profil!$F$12)&amp;"kg",IF(Profil!$XFB$46&gt;18,"RPE6",IF(I5="Knee Pause Deadlift",MROUND((0.78*Profil!$F$37),Profil!$F$12)&amp;"kg",MROUND((0.8*Profil!$F$37),Profil!$F$12)&amp;"kg")))</f>
        <v>0kg</v>
      </c>
      <c r="M27" s="186"/>
      <c r="N27" s="2"/>
      <c r="O27" s="19" t="str">
        <f>IF(Profil!$XFA$19="G","Tempo 3:0:0 Squat",IF(Profil!$XFA$19="GM","Tempo 3:0:0 HB Squat",IF(Profil!$XFA$19="HD","Pin Squat",IF(Profil!$XFA$21="Bas","Pause Squat","Comp Squat"))))</f>
        <v>Comp Squat</v>
      </c>
      <c r="P27" s="10">
        <v>1</v>
      </c>
      <c r="Q27" s="10">
        <v>1</v>
      </c>
      <c r="R27" s="17" t="str">
        <f>IF(Profil!$XFC$19="GOOD","RPE6","RPE5")</f>
        <v>RPE6</v>
      </c>
      <c r="S27" s="185"/>
      <c r="T27" s="116" t="s">
        <v>10</v>
      </c>
      <c r="U27" s="9" t="s">
        <v>2</v>
      </c>
      <c r="V27" s="10">
        <v>1</v>
      </c>
      <c r="W27" s="57">
        <v>1</v>
      </c>
      <c r="X27" s="57" t="str">
        <f>IF(Profil!$XFB$23&gt;13,"RPE7","RPE6")</f>
        <v>RPE7</v>
      </c>
      <c r="Y27" s="182"/>
      <c r="Z27" s="116" t="s">
        <v>10</v>
      </c>
      <c r="AA27" s="1"/>
    </row>
    <row r="28" spans="1:27" ht="15" customHeight="1" x14ac:dyDescent="0.25">
      <c r="A28" s="1"/>
      <c r="B28" s="5"/>
      <c r="C28" s="9"/>
      <c r="D28" s="57">
        <f>IF(Profil!$XFB$23&lt;10,2,3)</f>
        <v>3</v>
      </c>
      <c r="E28" s="10">
        <v>3</v>
      </c>
      <c r="F28" s="22" t="str">
        <f>MROUND((0.79*Profil!$F$15),Profil!$F$12)&amp;"kg"</f>
        <v>0kg</v>
      </c>
      <c r="G28" s="129"/>
      <c r="H28" s="116" t="s">
        <v>11</v>
      </c>
      <c r="I28" s="19" t="str">
        <f>IF(Profil!$XFA$41="Dos","Pause Deadlift",IF(Profil!$XFA$41="Bassin","Tempo 3:0:3 Deadlift",IF(Profil!$XFA$41="Genoux","Tempo 3:0:3 Deadlift","")))</f>
        <v/>
      </c>
      <c r="J28" s="80">
        <f>IF(Profil!$B$37="SDT TRADI",2,IF(Profil!$XFB$46&gt;20,3,2))</f>
        <v>2</v>
      </c>
      <c r="K28" s="74">
        <f>IF(Profil!$XFA$41="Dos",4,IF(Profil!$XFA$41="Bassin",3,IF(Profil!$XFA$41="Genoux",3,IF(Profil!$XFA$43="Fin",3,4))))</f>
        <v>3</v>
      </c>
      <c r="L28" s="22" t="str">
        <f>IF(Profil!$XFA$41="Dos",MROUND((0.72*Profil!$F$37),Profil!$F$12)&amp;"kg",IF(Profil!$XFA$41="Bassin",MROUND((0.71*Profil!$F$37),Profil!$F$12)&amp;"kg",IF(Profil!$XFA$41="Genoux",MROUND((0.71*Profil!$F$37),Profil!$F$12)&amp;"kg",IF(Profil!$XFA$43="Fin",MROUND((0.74*Profil!$F$37),Profil!$F$12)&amp;"kg",MROUND((0.76*Profil!$F$37),Profil!$F$12)&amp;"kg"))))</f>
        <v>0kg</v>
      </c>
      <c r="M28" s="125"/>
      <c r="N28" s="2"/>
      <c r="O28" s="19" t="str">
        <f>IF(Profil!$XFA$19="G","(Contrôle genoux)",IF(Profil!$XFA$19="GM","(Reste vertical sur poussée)",IF(Profil!$XFA$19="HD","(Tension haut du dos dans pause)",IF(Profil!$XFA$21="Bas","(Max de tension en bas)",""))))</f>
        <v/>
      </c>
      <c r="P28" s="57">
        <f>IF(Profil!$XFB$23&lt;20,2,3)</f>
        <v>2</v>
      </c>
      <c r="Q28" s="10">
        <v>3</v>
      </c>
      <c r="R28" s="11">
        <v>-0.14000000000000001</v>
      </c>
      <c r="S28" s="129"/>
      <c r="T28" s="116" t="s">
        <v>11</v>
      </c>
      <c r="U28" s="9"/>
      <c r="V28" s="57" t="str">
        <f>IF(Profil!$XFB$23&gt;13,"3","3")</f>
        <v>3</v>
      </c>
      <c r="W28" s="10">
        <v>2</v>
      </c>
      <c r="X28" s="22" t="str">
        <f>MROUND((0.83*Profil!$F$15),Profil!$F$12)&amp;"kg"</f>
        <v>0kg</v>
      </c>
      <c r="Y28" s="131"/>
      <c r="Z28" s="116" t="s">
        <v>11</v>
      </c>
      <c r="AA28" s="1"/>
    </row>
    <row r="29" spans="1:27" ht="15" customHeight="1" x14ac:dyDescent="0.25">
      <c r="A29" s="1"/>
      <c r="B29" s="5"/>
      <c r="C29" s="35" t="s">
        <v>0</v>
      </c>
      <c r="D29" s="36">
        <v>1</v>
      </c>
      <c r="E29" s="36">
        <v>3</v>
      </c>
      <c r="F29" s="37" t="str">
        <f>IF(Profil!$XFB$34&lt;16,"RPE7","RPE8")</f>
        <v>RPE8</v>
      </c>
      <c r="G29" s="179"/>
      <c r="H29" s="116" t="s">
        <v>13</v>
      </c>
      <c r="I29" s="43" t="s">
        <v>0</v>
      </c>
      <c r="J29" s="36">
        <f>J18+1</f>
        <v>6</v>
      </c>
      <c r="K29" s="25">
        <f>K18-1</f>
        <v>3</v>
      </c>
      <c r="L29" s="24" t="str">
        <f>MROUND((0.8*Profil!$F$26),Profil!$F$12)&amp;"kg"</f>
        <v>0kg</v>
      </c>
      <c r="M29" s="126"/>
      <c r="N29" s="2"/>
      <c r="O29" s="21" t="s">
        <v>26</v>
      </c>
      <c r="P29" s="82">
        <f>IF(Profil!$XFB$34&gt;20,2,1)</f>
        <v>1</v>
      </c>
      <c r="Q29" s="12">
        <v>1</v>
      </c>
      <c r="R29" s="18" t="str">
        <f>IF(Profil!$XFC$30="GOOD",IF(Profil!$XFB$34&lt;12,"RPE7",IF(Profil!$XFB$34&lt;17,"RPE7,5",IF(Profil!$XFB$34&lt;22,"RPE8",IF(Profil!$XFB$34&lt;27,"RPE8,5","RPE9")))),IF(Profil!$XFB$34&lt;12,"RPE6",IF(Profil!$XFB$34&lt;17,"RPE6,5",IF(Profil!$XFB$34&lt;22,"RPE7",IF(Profil!$XFB$34&lt;27,"RPE7,5","RPE8")))))</f>
        <v>RPE7,5</v>
      </c>
      <c r="S29" s="187"/>
      <c r="T29" s="116" t="s">
        <v>13</v>
      </c>
      <c r="U29" s="20" t="s">
        <v>3</v>
      </c>
      <c r="V29" s="12">
        <v>1</v>
      </c>
      <c r="W29" s="36">
        <v>1</v>
      </c>
      <c r="X29" s="36" t="str">
        <f>IF(Profil!$XFB$45&gt;13,"RPE7","RPE6")</f>
        <v>RPE7</v>
      </c>
      <c r="Y29" s="183"/>
      <c r="Z29" s="116" t="s">
        <v>13</v>
      </c>
      <c r="AA29" s="1"/>
    </row>
    <row r="30" spans="1:27" ht="15" customHeight="1" x14ac:dyDescent="0.25">
      <c r="A30" s="1"/>
      <c r="B30" s="5"/>
      <c r="C30" s="38"/>
      <c r="D30" s="36">
        <f>IF(Profil!$XFB$34&lt;16,2,3)</f>
        <v>3</v>
      </c>
      <c r="E30" s="36">
        <v>4</v>
      </c>
      <c r="F30" s="73">
        <v>-0.11</v>
      </c>
      <c r="G30" s="127"/>
      <c r="H30" s="116" t="s">
        <v>15</v>
      </c>
      <c r="I30" s="26"/>
      <c r="J30" s="24"/>
      <c r="K30" s="24"/>
      <c r="L30" s="24"/>
      <c r="M30" s="126"/>
      <c r="N30" s="2"/>
      <c r="O30" s="21" t="str">
        <f>IF(Profil!$XFA$30="Pause","",IF(Profil!$XFA$30="Traj","Double Pause Bench","Tshirt Pause Bench"))</f>
        <v>Tshirt Pause Bench</v>
      </c>
      <c r="P30" s="69" t="str">
        <f>IF(Profil!$XFB$34&gt;18,$P$19+1,$P$19)</f>
        <v>3</v>
      </c>
      <c r="Q30" s="69" t="str">
        <f>IF(Profil!$XFA$30="Pause","2",IF(Profil!$XFA$30="Traj","4","5"))</f>
        <v>5</v>
      </c>
      <c r="R30" s="69" t="str">
        <f>IF(Profil!$XFA$30="Pause",MROUND((0.82*Profil!$F$26),Profil!$F$12)&amp;"kg",IF(Profil!$XFA$30="Traj",MROUND((0.7*Profil!$F$26),Profil!$F$12)&amp;"kg",MROUND((0.77*Profil!$F$26),Profil!$F$12)&amp;"kg"))</f>
        <v>0kg</v>
      </c>
      <c r="S30" s="127"/>
      <c r="T30" s="116" t="s">
        <v>15</v>
      </c>
      <c r="U30" s="8"/>
      <c r="V30" s="36" t="str">
        <f>IF(Profil!$XFB$46&gt;16,"3","2")</f>
        <v>2</v>
      </c>
      <c r="W30" s="36" t="str">
        <f>IF(Profil!$XFB$45&gt;13,"2","2")</f>
        <v>2</v>
      </c>
      <c r="X30" s="93" t="str">
        <f>IF(Profil!$B$37="SDT TRADI",MROUND((0.82*Profil!$F$37),Profil!$F$12)&amp;"kg",MROUND((0.83*Profil!$F$37),Profil!$F$12)&amp;"kg")</f>
        <v>0kg</v>
      </c>
      <c r="Y30" s="132"/>
      <c r="Z30" s="116" t="s">
        <v>15</v>
      </c>
      <c r="AA30" s="1"/>
    </row>
    <row r="31" spans="1:27" ht="15" customHeight="1" x14ac:dyDescent="0.25">
      <c r="A31" s="1"/>
      <c r="B31" s="5"/>
      <c r="C31" s="9" t="s">
        <v>1</v>
      </c>
      <c r="D31" s="10">
        <v>3</v>
      </c>
      <c r="E31" s="10">
        <v>10</v>
      </c>
      <c r="F31" s="17" t="s">
        <v>12</v>
      </c>
      <c r="G31" s="128"/>
      <c r="H31" s="116" t="s">
        <v>17</v>
      </c>
      <c r="I31" s="44" t="s">
        <v>65</v>
      </c>
      <c r="J31" s="45">
        <v>3</v>
      </c>
      <c r="K31" s="46" t="s">
        <v>16</v>
      </c>
      <c r="L31" s="47"/>
      <c r="M31" s="126"/>
      <c r="N31" s="2"/>
      <c r="O31" s="19" t="s">
        <v>80</v>
      </c>
      <c r="P31" s="10">
        <v>3</v>
      </c>
      <c r="Q31" s="10">
        <v>10</v>
      </c>
      <c r="R31" s="17" t="s">
        <v>12</v>
      </c>
      <c r="S31" s="128"/>
      <c r="T31" s="116" t="s">
        <v>17</v>
      </c>
      <c r="U31" s="9" t="s">
        <v>0</v>
      </c>
      <c r="V31" s="10">
        <v>1</v>
      </c>
      <c r="W31" s="57">
        <v>1</v>
      </c>
      <c r="X31" s="57" t="str">
        <f>IF(Profil!$XFB$34&gt;13,"RPE8","RPE7")</f>
        <v>RPE8</v>
      </c>
      <c r="Y31" s="184"/>
      <c r="Z31" s="116" t="s">
        <v>17</v>
      </c>
      <c r="AA31" s="1"/>
    </row>
    <row r="32" spans="1:27" ht="15" customHeight="1" x14ac:dyDescent="0.25">
      <c r="A32" s="208" t="s">
        <v>24</v>
      </c>
      <c r="B32" s="5"/>
      <c r="C32" s="20" t="s">
        <v>67</v>
      </c>
      <c r="D32" s="12">
        <v>3</v>
      </c>
      <c r="E32" s="12">
        <v>7</v>
      </c>
      <c r="F32" s="18" t="s">
        <v>12</v>
      </c>
      <c r="G32" s="128"/>
      <c r="H32" s="115"/>
      <c r="I32" s="23" t="s">
        <v>22</v>
      </c>
      <c r="J32" s="53">
        <v>3</v>
      </c>
      <c r="K32" s="54" t="s">
        <v>16</v>
      </c>
      <c r="L32" s="55"/>
      <c r="M32" s="126"/>
      <c r="N32" s="1"/>
      <c r="O32" s="20" t="str">
        <f>IF(Profil!$XFA$49="Dos","Gainage Lesté",IF(Profil!$XFA$49="Ep","Bear Push Ups",IF(Profil!$XFA$49="Coud","Curl Poulie Tempo",IF(Profil!$XFA$49="Poig","Curl Pronation",IF(Profil!$XFA$49="Bass","Cossack Squat",IF(Profil!$XFA$49="Genx","Spanish Squat","Extensions mollet"))))))</f>
        <v>Extensions mollet</v>
      </c>
      <c r="P32" s="12">
        <v>3</v>
      </c>
      <c r="Q32" s="12"/>
      <c r="R32" s="12"/>
      <c r="S32" s="128"/>
      <c r="T32" s="115"/>
      <c r="U32" s="9"/>
      <c r="V32" s="80">
        <f>IF(Profil!$XFB$34&gt;15,4,3)</f>
        <v>4</v>
      </c>
      <c r="W32" s="64">
        <v>3</v>
      </c>
      <c r="X32" s="66" t="str">
        <f>MROUND((0.85*Profil!$F$26),Profil!$F$12)&amp;"kg"</f>
        <v>0kg</v>
      </c>
      <c r="Y32" s="128"/>
      <c r="Z32" s="115"/>
      <c r="AA32" s="1"/>
    </row>
    <row r="33" spans="1:27" ht="15" customHeight="1" thickBot="1" x14ac:dyDescent="0.3">
      <c r="A33" s="209"/>
      <c r="B33" s="5"/>
      <c r="C33" s="40" t="s">
        <v>19</v>
      </c>
      <c r="D33" s="41">
        <v>3</v>
      </c>
      <c r="E33" s="42" t="s">
        <v>20</v>
      </c>
      <c r="F33" s="41"/>
      <c r="G33" s="128"/>
      <c r="H33" s="117"/>
      <c r="I33" s="56" t="s">
        <v>66</v>
      </c>
      <c r="J33" s="57">
        <v>3</v>
      </c>
      <c r="K33" s="58"/>
      <c r="L33" s="59"/>
      <c r="M33" s="126"/>
      <c r="N33" s="2"/>
      <c r="O33" s="13" t="s">
        <v>21</v>
      </c>
      <c r="P33" s="14">
        <v>3</v>
      </c>
      <c r="Q33" s="15"/>
      <c r="R33" s="14"/>
      <c r="S33" s="128"/>
      <c r="T33" s="117"/>
      <c r="U33" s="70" t="str">
        <f>IF(Profil!$XFA$32="Bas","2ct Low Pin Press",IF(Profil!$XFA$32="Milieu","Larsen Press","Close Grip Bench"))</f>
        <v>Close Grip Bench</v>
      </c>
      <c r="V33" s="67">
        <v>2</v>
      </c>
      <c r="W33" s="71">
        <f>IF(Profil!$XFA$32="Bas",3,5)</f>
        <v>5</v>
      </c>
      <c r="X33" s="67" t="str">
        <f>IF(Profil!$XFA$32="Bas",MROUND((0.73*Profil!$F$26),Profil!$F$12)&amp;"kg",MROUND((0.71*Profil!$F$26),Profil!$F$12)&amp;"kg")</f>
        <v>0kg</v>
      </c>
      <c r="Y33" s="128"/>
      <c r="Z33" s="117"/>
      <c r="AA33" s="1"/>
    </row>
    <row r="34" spans="1:2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 customHeight="1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.75" customHeight="1" x14ac:dyDescent="0.25">
      <c r="A36" s="1"/>
      <c r="B36" s="4"/>
      <c r="C36" s="223" t="str">
        <f>IF(Profil!$H$51="","SEANCE 29",I36-2)</f>
        <v>SEANCE 29</v>
      </c>
      <c r="D36" s="224"/>
      <c r="E36" s="224"/>
      <c r="F36" s="224"/>
      <c r="G36" s="224"/>
      <c r="H36" s="114"/>
      <c r="I36" s="228" t="str">
        <f>IF(Profil!$H$51="","SEANCE 30",O36-1)</f>
        <v>SEANCE 30</v>
      </c>
      <c r="J36" s="229"/>
      <c r="K36" s="229"/>
      <c r="L36" s="229"/>
      <c r="M36" s="224"/>
      <c r="N36" s="27"/>
      <c r="O36" s="225" t="str">
        <f>IF(Profil!$H$51="","SEANCE 31",U36-2)</f>
        <v>SEANCE 31</v>
      </c>
      <c r="P36" s="226"/>
      <c r="Q36" s="226"/>
      <c r="R36" s="226"/>
      <c r="S36" s="226"/>
      <c r="T36" s="114"/>
      <c r="U36" s="217" t="str">
        <f>IF(Profil!$H$51="","SEANCE 32",Profil!$H$51)</f>
        <v>SEANCE 32</v>
      </c>
      <c r="V36" s="218"/>
      <c r="W36" s="218"/>
      <c r="X36" s="218"/>
      <c r="Y36" s="218"/>
      <c r="Z36" s="114"/>
      <c r="AA36" s="1"/>
    </row>
    <row r="37" spans="1:27" ht="15" customHeight="1" x14ac:dyDescent="0.25">
      <c r="A37" s="1"/>
      <c r="B37" s="5"/>
      <c r="C37" s="6" t="s">
        <v>4</v>
      </c>
      <c r="D37" s="7" t="s">
        <v>5</v>
      </c>
      <c r="E37" s="7" t="s">
        <v>6</v>
      </c>
      <c r="F37" s="7" t="s">
        <v>7</v>
      </c>
      <c r="G37" s="7" t="s">
        <v>8</v>
      </c>
      <c r="H37" s="115"/>
      <c r="I37" s="76" t="s">
        <v>4</v>
      </c>
      <c r="J37" s="77" t="s">
        <v>5</v>
      </c>
      <c r="K37" s="77" t="s">
        <v>6</v>
      </c>
      <c r="L37" s="135" t="s">
        <v>7</v>
      </c>
      <c r="M37" s="126"/>
      <c r="N37" s="2"/>
      <c r="O37" s="6" t="s">
        <v>4</v>
      </c>
      <c r="P37" s="7" t="s">
        <v>5</v>
      </c>
      <c r="Q37" s="7" t="s">
        <v>6</v>
      </c>
      <c r="R37" s="7" t="s">
        <v>7</v>
      </c>
      <c r="S37" s="7" t="s">
        <v>8</v>
      </c>
      <c r="T37" s="115"/>
      <c r="U37" s="6" t="s">
        <v>4</v>
      </c>
      <c r="V37" s="7" t="s">
        <v>5</v>
      </c>
      <c r="W37" s="7" t="s">
        <v>6</v>
      </c>
      <c r="X37" s="7" t="s">
        <v>7</v>
      </c>
      <c r="Y37" s="7" t="s">
        <v>8</v>
      </c>
      <c r="Z37" s="115"/>
      <c r="AA37" s="1"/>
    </row>
    <row r="38" spans="1:27" ht="15" customHeight="1" x14ac:dyDescent="0.25">
      <c r="A38" s="1"/>
      <c r="B38" s="5"/>
      <c r="C38" s="19" t="s">
        <v>2</v>
      </c>
      <c r="D38" s="10">
        <v>1</v>
      </c>
      <c r="E38" s="10">
        <v>1</v>
      </c>
      <c r="F38" s="57" t="str">
        <f>IF(Profil!$XFC$19="GOOD",IF(Profil!$XFB$23&lt;14,"RPE6","RPE7"),"RPE6")</f>
        <v>RPE7</v>
      </c>
      <c r="G38" s="185"/>
      <c r="H38" s="116" t="s">
        <v>10</v>
      </c>
      <c r="I38" s="136" t="str">
        <f>IF(Profil!$B$37="SDT SUMO",IF(Profil!$XFA$43="Fin","Knee Pause Deadlift","Comp Deadlift"),IF(Profil!$XFA$43="Fin","Knee Pause Deadlift",IF(Profil!$XFA$41="Bassin","Low Pause Deadlift","Comp Deadlift")))</f>
        <v>Knee Pause Deadlift</v>
      </c>
      <c r="J38" s="80" t="str">
        <f>IF(Profil!$XFB$46&lt;26,"-","1")</f>
        <v>-</v>
      </c>
      <c r="K38" s="80" t="str">
        <f>IF(Profil!$XFB$46&lt;26,"-","1")</f>
        <v>-</v>
      </c>
      <c r="L38" s="137" t="str">
        <f>IF(Profil!$B$37="SDT TRADI","-",IF(Profil!$XFB$46&lt;26,"-",MROUND((0.8*Profil!$F$37),Profil!$F$12)&amp;"kg"))</f>
        <v>-</v>
      </c>
      <c r="M38" s="126"/>
      <c r="N38" s="2"/>
      <c r="O38" s="19" t="str">
        <f>IF(Profil!$XFB$23&gt;18,IF(Profil!$XFA$19="G","Tempo 3:0:0 Squat",IF(Profil!$XFA$19="GM","Tempo 3:0:0 HB Squat",IF(Profil!$XFA$19="HD","Pin Squat",IF(Profil!$XFA$21="Bas","Pause Squat","Comp Squat")))),"-")</f>
        <v>-</v>
      </c>
      <c r="P38" s="57" t="str">
        <f>IF(Profil!$XFB$23&gt;18,"1","-")</f>
        <v>-</v>
      </c>
      <c r="Q38" s="57" t="str">
        <f>IF(Profil!$XFB$23&gt;18,"1","-")</f>
        <v>-</v>
      </c>
      <c r="R38" s="57" t="str">
        <f>IF(Profil!$XFB$23&gt;18,"RPE5","-")</f>
        <v>-</v>
      </c>
      <c r="S38" s="185"/>
      <c r="T38" s="116" t="s">
        <v>10</v>
      </c>
      <c r="U38" s="9" t="s">
        <v>2</v>
      </c>
      <c r="V38" s="10">
        <v>1</v>
      </c>
      <c r="W38" s="57">
        <v>1</v>
      </c>
      <c r="X38" s="57" t="str">
        <f>IF(Profil!$XFB$23&gt;13,"RPE9","RPE9")</f>
        <v>RPE9</v>
      </c>
      <c r="Y38" s="182"/>
      <c r="Z38" s="116" t="s">
        <v>10</v>
      </c>
      <c r="AA38" s="1"/>
    </row>
    <row r="39" spans="1:27" ht="15" customHeight="1" x14ac:dyDescent="0.25">
      <c r="A39" s="1"/>
      <c r="B39" s="5"/>
      <c r="C39" s="9"/>
      <c r="D39" s="57">
        <f>D28-1</f>
        <v>2</v>
      </c>
      <c r="E39" s="10">
        <v>2</v>
      </c>
      <c r="F39" s="22" t="str">
        <f>MROUND((0.81*Profil!$F$15),Profil!$F$12)&amp;"kg"</f>
        <v>0kg</v>
      </c>
      <c r="G39" s="129"/>
      <c r="H39" s="116" t="s">
        <v>11</v>
      </c>
      <c r="I39" s="78" t="str">
        <f>IF(Profil!$XFA$41="Dos","Pause Deadlift",IF(Profil!$XFA$41="Bassin","Tempo 3:0:3 Deadlift",IF(Profil!$XFA$41="Genoux","Tempo 3:0:3 Deadlift","")))</f>
        <v/>
      </c>
      <c r="J39" s="80">
        <f>IF(Profil!$B$37="SDT TRADI",2,IF(Profil!$XFB$45&gt;20,3,2))</f>
        <v>2</v>
      </c>
      <c r="K39" s="74">
        <f>IF(Profil!$XFA$41="Dos",3,IF(Profil!$XFA$41="Bassin",2,IF(Profil!$XFA$41="Genoux",2,IF(Profil!$XFA$43="Fin",3,3))))</f>
        <v>3</v>
      </c>
      <c r="L39" s="120" t="str">
        <f>IF(Profil!$XFB$45&gt;20,IF(Profil!$XFA$41="Dos",MROUND((0.74*Profil!$F$37),Profil!$F$12)&amp;"kg",IF(Profil!$XFA$41="Bassin",MROUND((0.73*Profil!$F$37),Profil!$F$12)&amp;"kg",IF(Profil!$XFA$41="Genoux",MROUND((0.73*Profil!$F$37),Profil!$F$12)&amp;"kg",IF(Profil!$XFA$43="Fin",MROUND((0.76*Profil!$F$37),Profil!$F$12)&amp;"kg",MROUND((0.78*Profil!$F$37),Profil!$F$12)&amp;"kg")))),IF(Profil!$XFA$41="Dos",MROUND((0.68*Profil!$F$37),Profil!$F$12)&amp;"kg",IF(Profil!$XFA$41="Bassin",MROUND((0.67*Profil!$F$37),Profil!$F$12)&amp;"kg",IF(Profil!$XFA$41="Genoux",MROUND((0.67*Profil!$F$37),Profil!$F$12)&amp;"kg",IF(Profil!$XFA$43="Fin",MROUND((0.7*Profil!$F$37),Profil!$F$12)&amp;"kg",MROUND((0.72*Profil!$F$37),Profil!$F$12)&amp;"kg")))))</f>
        <v>0kg</v>
      </c>
      <c r="M39" s="126"/>
      <c r="N39" s="2"/>
      <c r="O39" s="19" t="s">
        <v>2</v>
      </c>
      <c r="P39" s="57">
        <v>2</v>
      </c>
      <c r="Q39" s="10">
        <v>3</v>
      </c>
      <c r="R39" s="10" t="str">
        <f>IF(Profil!$XFB$23&gt;19,MROUND((0.73*Profil!$F$15),Profil!$F$12)&amp;"kg",MROUND((0.7*Profil!$F$15),Profil!$F$12)&amp;"kg")</f>
        <v>0kg</v>
      </c>
      <c r="S39" s="129"/>
      <c r="T39" s="116" t="s">
        <v>11</v>
      </c>
      <c r="U39" s="9"/>
      <c r="V39" s="10" t="s">
        <v>77</v>
      </c>
      <c r="W39" s="10" t="s">
        <v>77</v>
      </c>
      <c r="X39" s="22" t="s">
        <v>77</v>
      </c>
      <c r="Y39" s="131"/>
      <c r="Z39" s="116" t="s">
        <v>11</v>
      </c>
      <c r="AA39" s="1"/>
    </row>
    <row r="40" spans="1:27" ht="15" customHeight="1" x14ac:dyDescent="0.25">
      <c r="A40" s="1"/>
      <c r="B40" s="5"/>
      <c r="C40" s="35" t="s">
        <v>0</v>
      </c>
      <c r="D40" s="36">
        <v>1</v>
      </c>
      <c r="E40" s="36">
        <v>2</v>
      </c>
      <c r="F40" s="37" t="str">
        <f>IF(Profil!$XFB$34&lt;16,"RPE6","RPE7")</f>
        <v>RPE7</v>
      </c>
      <c r="G40" s="179"/>
      <c r="H40" s="116" t="s">
        <v>13</v>
      </c>
      <c r="I40" s="91" t="s">
        <v>0</v>
      </c>
      <c r="J40" s="82">
        <f>J29-1</f>
        <v>5</v>
      </c>
      <c r="K40" s="92">
        <f>K29-1</f>
        <v>2</v>
      </c>
      <c r="L40" s="121" t="str">
        <f>MROUND((0.82*Profil!$F$26),Profil!$F$12)&amp;"kg"</f>
        <v>0kg</v>
      </c>
      <c r="M40" s="126"/>
      <c r="N40" s="2"/>
      <c r="O40" s="21" t="s">
        <v>26</v>
      </c>
      <c r="P40" s="82">
        <f>IF(Profil!$XFB$34&gt;20,2,1)</f>
        <v>1</v>
      </c>
      <c r="Q40" s="12">
        <v>1</v>
      </c>
      <c r="R40" s="18" t="str">
        <f>IF(Profil!$XFC$30="GOOD",IF(Profil!$XFB$34&lt;12,"RPE6",IF(Profil!$XFB$34&lt;17,"RPE6,5",IF(Profil!$XFB$34&lt;22,"RPE7",IF(Profil!$XFB$34&lt;27,"RPE7,5","RPE8")))),IF(Profil!$XFB$34&lt;12,"RPE5",IF(Profil!$XFB$34&lt;17,"RPE5,5",IF(Profil!$XFB$34&lt;22,"RPE6",IF(Profil!$XFB$34&lt;27,"RPE6,5","RPE7")))))</f>
        <v>RPE6,5</v>
      </c>
      <c r="S40" s="187"/>
      <c r="T40" s="116" t="s">
        <v>13</v>
      </c>
      <c r="U40" s="20" t="s">
        <v>3</v>
      </c>
      <c r="V40" s="12">
        <v>1</v>
      </c>
      <c r="W40" s="36">
        <v>1</v>
      </c>
      <c r="X40" s="36" t="str">
        <f>IF(Profil!$XFB$45&gt;13,"RPE9","RPE9")</f>
        <v>RPE9</v>
      </c>
      <c r="Y40" s="183"/>
      <c r="Z40" s="116" t="s">
        <v>13</v>
      </c>
      <c r="AA40" s="1"/>
    </row>
    <row r="41" spans="1:27" ht="15" customHeight="1" x14ac:dyDescent="0.25">
      <c r="A41" s="1"/>
      <c r="B41" s="5"/>
      <c r="C41" s="38"/>
      <c r="D41" s="36">
        <f>IF(Profil!$XFB$34&lt;16,2,3)</f>
        <v>3</v>
      </c>
      <c r="E41" s="36">
        <v>4</v>
      </c>
      <c r="F41" s="73">
        <v>-0.1</v>
      </c>
      <c r="G41" s="127"/>
      <c r="H41" s="116" t="s">
        <v>15</v>
      </c>
      <c r="I41" s="94"/>
      <c r="J41" s="93"/>
      <c r="K41" s="93"/>
      <c r="L41" s="121"/>
      <c r="M41" s="126"/>
      <c r="N41" s="2"/>
      <c r="O41" s="21" t="str">
        <f>IF(Profil!$XFA$30="Pause","",IF(Profil!$XFA$30="Traj","Double Pause Bench","Tshirt Pause Bench"))</f>
        <v>Tshirt Pause Bench</v>
      </c>
      <c r="P41" s="69">
        <f>P30-1</f>
        <v>2</v>
      </c>
      <c r="Q41" s="69" t="str">
        <f>IF(Profil!$XFA$30="Pause","2",IF(Profil!$XFA$30="Traj","3","4"))</f>
        <v>4</v>
      </c>
      <c r="R41" s="69" t="str">
        <f>IF(Profil!$XFA$30="Pause",MROUND((0.84*Profil!$F$26),Profil!$F$12)&amp;"kg",IF(Profil!$XFA$30="Traj",MROUND((0.72*Profil!$F$26),Profil!$F$12)&amp;"kg",MROUND((0.79*Profil!$F$26),Profil!$F$12)&amp;"kg"))</f>
        <v>0kg</v>
      </c>
      <c r="S41" s="127"/>
      <c r="T41" s="116" t="s">
        <v>15</v>
      </c>
      <c r="U41" s="8"/>
      <c r="V41" s="12" t="s">
        <v>77</v>
      </c>
      <c r="W41" s="12" t="s">
        <v>77</v>
      </c>
      <c r="X41" s="24" t="s">
        <v>77</v>
      </c>
      <c r="Y41" s="132"/>
      <c r="Z41" s="116" t="s">
        <v>15</v>
      </c>
      <c r="AA41" s="1"/>
    </row>
    <row r="42" spans="1:27" ht="15" customHeight="1" x14ac:dyDescent="0.25">
      <c r="A42" s="1"/>
      <c r="B42" s="5"/>
      <c r="C42" s="9" t="s">
        <v>1</v>
      </c>
      <c r="D42" s="10">
        <v>2</v>
      </c>
      <c r="E42" s="10">
        <v>10</v>
      </c>
      <c r="F42" s="17" t="s">
        <v>12</v>
      </c>
      <c r="G42" s="128"/>
      <c r="H42" s="116" t="s">
        <v>17</v>
      </c>
      <c r="I42" s="95" t="s">
        <v>65</v>
      </c>
      <c r="J42" s="96">
        <v>2</v>
      </c>
      <c r="K42" s="97" t="s">
        <v>16</v>
      </c>
      <c r="L42" s="122"/>
      <c r="M42" s="126"/>
      <c r="N42" s="2"/>
      <c r="O42" s="19" t="s">
        <v>80</v>
      </c>
      <c r="P42" s="10">
        <v>2</v>
      </c>
      <c r="Q42" s="10">
        <v>10</v>
      </c>
      <c r="R42" s="17" t="s">
        <v>12</v>
      </c>
      <c r="S42" s="128"/>
      <c r="T42" s="116" t="s">
        <v>17</v>
      </c>
      <c r="U42" s="9" t="s">
        <v>0</v>
      </c>
      <c r="V42" s="10">
        <v>1</v>
      </c>
      <c r="W42" s="57">
        <v>1</v>
      </c>
      <c r="X42" s="57" t="str">
        <f>IF(Profil!$XFB$34&gt;13,"RPE10","RPE9")</f>
        <v>RPE10</v>
      </c>
      <c r="Y42" s="184"/>
      <c r="Z42" s="116" t="s">
        <v>17</v>
      </c>
      <c r="AA42" s="1"/>
    </row>
    <row r="43" spans="1:27" ht="15" customHeight="1" x14ac:dyDescent="0.25">
      <c r="A43" s="208" t="s">
        <v>25</v>
      </c>
      <c r="B43" s="5"/>
      <c r="C43" s="20" t="s">
        <v>67</v>
      </c>
      <c r="D43" s="12">
        <v>2</v>
      </c>
      <c r="E43" s="12">
        <v>6</v>
      </c>
      <c r="F43" s="18" t="s">
        <v>12</v>
      </c>
      <c r="G43" s="128"/>
      <c r="H43" s="115"/>
      <c r="I43" s="98" t="s">
        <v>22</v>
      </c>
      <c r="J43" s="99">
        <v>2</v>
      </c>
      <c r="K43" s="100" t="s">
        <v>16</v>
      </c>
      <c r="L43" s="123"/>
      <c r="M43" s="126"/>
      <c r="N43" s="1"/>
      <c r="O43" s="20" t="str">
        <f>IF(Profil!$XFA$49="Dos","Gainage Lesté",IF(Profil!$XFA$49="Ep","Bear Push Ups",IF(Profil!$XFA$49="Coud","Curl Poulie Tempo",IF(Profil!$XFA$49="Poig","Curl Pronation",IF(Profil!$XFA$49="Bass","Cossack Squat",IF(Profil!$XFA$49="Genx","Spanish Squat","Extensions mollet"))))))</f>
        <v>Extensions mollet</v>
      </c>
      <c r="P43" s="12">
        <v>2</v>
      </c>
      <c r="Q43" s="12"/>
      <c r="R43" s="12"/>
      <c r="S43" s="128"/>
      <c r="T43" s="115"/>
      <c r="U43" s="9"/>
      <c r="V43" s="10" t="s">
        <v>77</v>
      </c>
      <c r="W43" s="10" t="s">
        <v>77</v>
      </c>
      <c r="X43" s="11" t="s">
        <v>77</v>
      </c>
      <c r="Y43" s="128"/>
      <c r="Z43" s="115"/>
      <c r="AA43" s="1"/>
    </row>
    <row r="44" spans="1:27" ht="15" customHeight="1" thickBot="1" x14ac:dyDescent="0.3">
      <c r="A44" s="209"/>
      <c r="B44" s="5"/>
      <c r="C44" s="40" t="s">
        <v>19</v>
      </c>
      <c r="D44" s="41">
        <v>2</v>
      </c>
      <c r="E44" s="42" t="s">
        <v>20</v>
      </c>
      <c r="F44" s="41"/>
      <c r="G44" s="128"/>
      <c r="H44" s="117"/>
      <c r="I44" s="101" t="s">
        <v>66</v>
      </c>
      <c r="J44" s="102">
        <v>2</v>
      </c>
      <c r="K44" s="103"/>
      <c r="L44" s="124"/>
      <c r="M44" s="126"/>
      <c r="N44" s="2"/>
      <c r="O44" s="13" t="s">
        <v>21</v>
      </c>
      <c r="P44" s="14">
        <v>2</v>
      </c>
      <c r="Q44" s="15"/>
      <c r="R44" s="14"/>
      <c r="S44" s="128"/>
      <c r="T44" s="117"/>
      <c r="U44" s="70" t="str">
        <f>IF(Profil!$XFA$32="Bas","2ct Low Pin Press",IF(Profil!$XFA$32="Milieu","Larsen Press","Close Grip Bench"))</f>
        <v>Close Grip Bench</v>
      </c>
      <c r="V44" s="67" t="s">
        <v>77</v>
      </c>
      <c r="W44" s="71" t="s">
        <v>77</v>
      </c>
      <c r="X44" s="67" t="s">
        <v>77</v>
      </c>
      <c r="Y44" s="128"/>
      <c r="Z44" s="117"/>
      <c r="AA44" s="1"/>
    </row>
    <row r="45" spans="1:2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" customHeight="1" x14ac:dyDescent="0.2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</row>
    <row r="47" spans="1:27" ht="15" customHeight="1" x14ac:dyDescent="0.3">
      <c r="A47" s="188" t="s">
        <v>90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</row>
    <row r="48" spans="1:2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" hidden="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" hidden="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hidden="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hidden="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" hidden="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" hidden="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hidden="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hidden="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hidden="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hidden="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hidden="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hidden="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hidden="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hidden="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hidden="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hidden="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hidden="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3.5" hidden="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 hidden="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 hidden="1" customHeight="1" x14ac:dyDescent="0.25">
      <c r="N68" s="1"/>
    </row>
    <row r="69" spans="1:27" ht="15" hidden="1" customHeight="1" x14ac:dyDescent="0.25">
      <c r="N69" s="1"/>
    </row>
    <row r="70" spans="1:27" ht="15" hidden="1" customHeight="1" x14ac:dyDescent="0.25">
      <c r="N70" s="1"/>
    </row>
    <row r="71" spans="1:27" ht="15" hidden="1" customHeight="1" x14ac:dyDescent="0.25">
      <c r="N71" s="1"/>
    </row>
    <row r="72" spans="1:27" ht="15" hidden="1" customHeight="1" x14ac:dyDescent="0.25">
      <c r="N72" s="1"/>
    </row>
    <row r="73" spans="1:27" ht="15" hidden="1" customHeight="1" x14ac:dyDescent="0.25">
      <c r="N73" s="1"/>
    </row>
    <row r="74" spans="1:27" ht="15" hidden="1" customHeight="1" x14ac:dyDescent="0.25">
      <c r="N74" s="1"/>
    </row>
    <row r="75" spans="1:27" ht="15" hidden="1" customHeight="1" x14ac:dyDescent="0.25">
      <c r="N75" s="1"/>
    </row>
    <row r="76" spans="1:27" ht="15" hidden="1" customHeight="1" x14ac:dyDescent="0.25">
      <c r="N76" s="1"/>
    </row>
    <row r="77" spans="1:27" ht="15.75" hidden="1" customHeight="1" x14ac:dyDescent="0.25">
      <c r="N77" s="1"/>
    </row>
    <row r="78" spans="1:27" ht="15.75" hidden="1" customHeight="1" x14ac:dyDescent="0.25">
      <c r="N78" s="1"/>
    </row>
    <row r="79" spans="1:27" ht="15.75" hidden="1" customHeight="1" x14ac:dyDescent="0.25">
      <c r="N79" s="1"/>
    </row>
    <row r="80" spans="1:27" ht="15.75" hidden="1" customHeight="1" x14ac:dyDescent="0.25">
      <c r="N80" s="1"/>
    </row>
    <row r="81" spans="14:14" ht="15.75" hidden="1" customHeight="1" x14ac:dyDescent="0.25">
      <c r="N81" s="1"/>
    </row>
    <row r="82" spans="14:14" ht="15.75" hidden="1" customHeight="1" x14ac:dyDescent="0.25">
      <c r="N82" s="1"/>
    </row>
    <row r="83" spans="14:14" ht="15.75" hidden="1" customHeight="1" x14ac:dyDescent="0.25">
      <c r="N83" s="1"/>
    </row>
    <row r="84" spans="14:14" ht="15.75" hidden="1" customHeight="1" x14ac:dyDescent="0.25">
      <c r="N84" s="1"/>
    </row>
    <row r="85" spans="14:14" ht="15.75" hidden="1" customHeight="1" x14ac:dyDescent="0.25">
      <c r="N85" s="1"/>
    </row>
    <row r="86" spans="14:14" ht="15.75" hidden="1" customHeight="1" x14ac:dyDescent="0.25">
      <c r="N86" s="1"/>
    </row>
    <row r="87" spans="14:14" ht="15.75" hidden="1" customHeight="1" x14ac:dyDescent="0.25">
      <c r="N87" s="1"/>
    </row>
    <row r="88" spans="14:14" ht="15.75" hidden="1" customHeight="1" x14ac:dyDescent="0.25">
      <c r="N88" s="1"/>
    </row>
    <row r="89" spans="14:14" ht="15.75" hidden="1" customHeight="1" x14ac:dyDescent="0.25">
      <c r="N89" s="1"/>
    </row>
    <row r="90" spans="14:14" ht="15.75" hidden="1" customHeight="1" x14ac:dyDescent="0.25">
      <c r="N90" s="1"/>
    </row>
    <row r="91" spans="14:14" ht="15.75" hidden="1" customHeight="1" x14ac:dyDescent="0.25">
      <c r="N91" s="1"/>
    </row>
    <row r="92" spans="14:14" ht="15.75" hidden="1" customHeight="1" x14ac:dyDescent="0.25">
      <c r="N92" s="1"/>
    </row>
    <row r="93" spans="14:14" ht="15.75" hidden="1" customHeight="1" x14ac:dyDescent="0.25">
      <c r="N93" s="1"/>
    </row>
    <row r="94" spans="14:14" ht="15.75" hidden="1" customHeight="1" x14ac:dyDescent="0.25">
      <c r="N94" s="1"/>
    </row>
    <row r="95" spans="14:14" ht="15.75" hidden="1" customHeight="1" x14ac:dyDescent="0.25">
      <c r="N95" s="1"/>
    </row>
    <row r="96" spans="14:14" ht="15.75" hidden="1" customHeight="1" x14ac:dyDescent="0.25">
      <c r="N96" s="1"/>
    </row>
    <row r="97" spans="14:14" ht="15.75" hidden="1" customHeight="1" x14ac:dyDescent="0.25">
      <c r="N97" s="1"/>
    </row>
    <row r="98" spans="14:14" ht="15.75" hidden="1" customHeight="1" x14ac:dyDescent="0.25">
      <c r="N98" s="1"/>
    </row>
    <row r="99" spans="14:14" ht="15.75" hidden="1" customHeight="1" x14ac:dyDescent="0.25">
      <c r="N99" s="1"/>
    </row>
    <row r="100" spans="14:14" ht="15.75" hidden="1" customHeight="1" x14ac:dyDescent="0.25">
      <c r="N100" s="1"/>
    </row>
    <row r="101" spans="14:14" ht="15.75" hidden="1" customHeight="1" x14ac:dyDescent="0.25">
      <c r="N101" s="1"/>
    </row>
    <row r="102" spans="14:14" ht="15.75" hidden="1" customHeight="1" x14ac:dyDescent="0.25">
      <c r="N102" s="1"/>
    </row>
    <row r="103" spans="14:14" ht="15.75" hidden="1" customHeight="1" x14ac:dyDescent="0.25">
      <c r="N103" s="1"/>
    </row>
    <row r="104" spans="14:14" ht="15.75" hidden="1" customHeight="1" x14ac:dyDescent="0.25">
      <c r="N104" s="1"/>
    </row>
    <row r="105" spans="14:14" ht="15.75" hidden="1" customHeight="1" x14ac:dyDescent="0.25">
      <c r="N105" s="1"/>
    </row>
    <row r="106" spans="14:14" ht="15.75" hidden="1" customHeight="1" x14ac:dyDescent="0.25">
      <c r="N106" s="1"/>
    </row>
    <row r="107" spans="14:14" ht="15.75" hidden="1" customHeight="1" x14ac:dyDescent="0.25">
      <c r="N107" s="1"/>
    </row>
    <row r="108" spans="14:14" ht="15.75" hidden="1" customHeight="1" x14ac:dyDescent="0.25">
      <c r="N108" s="1"/>
    </row>
    <row r="109" spans="14:14" ht="15.75" hidden="1" customHeight="1" x14ac:dyDescent="0.25">
      <c r="N109" s="1"/>
    </row>
    <row r="110" spans="14:14" ht="15.75" hidden="1" customHeight="1" x14ac:dyDescent="0.25">
      <c r="N110" s="1"/>
    </row>
    <row r="111" spans="14:14" ht="15.75" hidden="1" customHeight="1" x14ac:dyDescent="0.25">
      <c r="N111" s="1"/>
    </row>
    <row r="112" spans="14:14" ht="15.75" hidden="1" customHeight="1" x14ac:dyDescent="0.25">
      <c r="N112" s="1"/>
    </row>
    <row r="113" spans="14:14" ht="15.75" hidden="1" customHeight="1" x14ac:dyDescent="0.25">
      <c r="N113" s="1"/>
    </row>
    <row r="114" spans="14:14" ht="15.75" hidden="1" customHeight="1" x14ac:dyDescent="0.25">
      <c r="N114" s="1"/>
    </row>
    <row r="115" spans="14:14" ht="15.75" hidden="1" customHeight="1" x14ac:dyDescent="0.25">
      <c r="N115" s="1"/>
    </row>
    <row r="116" spans="14:14" ht="15.75" hidden="1" customHeight="1" x14ac:dyDescent="0.25">
      <c r="N116" s="1"/>
    </row>
    <row r="117" spans="14:14" ht="15.75" hidden="1" customHeight="1" x14ac:dyDescent="0.25">
      <c r="N117" s="1"/>
    </row>
    <row r="118" spans="14:14" ht="15.75" hidden="1" customHeight="1" x14ac:dyDescent="0.25">
      <c r="N118" s="1"/>
    </row>
    <row r="119" spans="14:14" ht="15.75" hidden="1" customHeight="1" x14ac:dyDescent="0.25">
      <c r="N119" s="1"/>
    </row>
    <row r="120" spans="14:14" ht="15.75" hidden="1" customHeight="1" x14ac:dyDescent="0.25">
      <c r="N120" s="1"/>
    </row>
    <row r="121" spans="14:14" ht="15.75" hidden="1" customHeight="1" x14ac:dyDescent="0.25">
      <c r="N121" s="1"/>
    </row>
    <row r="122" spans="14:14" ht="15.75" hidden="1" customHeight="1" x14ac:dyDescent="0.25">
      <c r="N122" s="1"/>
    </row>
    <row r="123" spans="14:14" ht="15.75" hidden="1" customHeight="1" x14ac:dyDescent="0.25">
      <c r="N123" s="1"/>
    </row>
    <row r="124" spans="14:14" ht="15.75" hidden="1" customHeight="1" x14ac:dyDescent="0.25">
      <c r="N124" s="1"/>
    </row>
    <row r="125" spans="14:14" ht="15.75" hidden="1" customHeight="1" x14ac:dyDescent="0.25">
      <c r="N125" s="1"/>
    </row>
    <row r="126" spans="14:14" ht="15.75" hidden="1" customHeight="1" x14ac:dyDescent="0.25">
      <c r="N126" s="1"/>
    </row>
    <row r="127" spans="14:14" ht="15.75" hidden="1" customHeight="1" x14ac:dyDescent="0.25">
      <c r="N127" s="1"/>
    </row>
    <row r="128" spans="14:14" ht="15.75" hidden="1" customHeight="1" x14ac:dyDescent="0.25">
      <c r="N128" s="1"/>
    </row>
    <row r="129" spans="14:14" ht="15.75" hidden="1" customHeight="1" x14ac:dyDescent="0.25">
      <c r="N129" s="1"/>
    </row>
    <row r="130" spans="14:14" ht="15.75" hidden="1" customHeight="1" x14ac:dyDescent="0.25">
      <c r="N130" s="1"/>
    </row>
    <row r="131" spans="14:14" ht="15.75" hidden="1" customHeight="1" x14ac:dyDescent="0.25">
      <c r="N131" s="1"/>
    </row>
    <row r="132" spans="14:14" ht="15.75" hidden="1" customHeight="1" x14ac:dyDescent="0.25">
      <c r="N132" s="1"/>
    </row>
    <row r="133" spans="14:14" ht="15.75" hidden="1" customHeight="1" x14ac:dyDescent="0.25">
      <c r="N133" s="1"/>
    </row>
    <row r="134" spans="14:14" ht="15.75" hidden="1" customHeight="1" x14ac:dyDescent="0.25">
      <c r="N134" s="1"/>
    </row>
    <row r="135" spans="14:14" ht="15.75" hidden="1" customHeight="1" x14ac:dyDescent="0.25">
      <c r="N135" s="1"/>
    </row>
    <row r="136" spans="14:14" ht="15.75" hidden="1" customHeight="1" x14ac:dyDescent="0.25">
      <c r="N136" s="1"/>
    </row>
    <row r="137" spans="14:14" ht="15.75" hidden="1" customHeight="1" x14ac:dyDescent="0.25">
      <c r="N137" s="1"/>
    </row>
    <row r="138" spans="14:14" ht="15.75" hidden="1" customHeight="1" x14ac:dyDescent="0.25">
      <c r="N138" s="1"/>
    </row>
    <row r="139" spans="14:14" ht="15.75" hidden="1" customHeight="1" x14ac:dyDescent="0.25">
      <c r="N139" s="1"/>
    </row>
    <row r="140" spans="14:14" ht="15.75" hidden="1" customHeight="1" x14ac:dyDescent="0.25">
      <c r="N140" s="1"/>
    </row>
    <row r="141" spans="14:14" ht="15.75" hidden="1" customHeight="1" x14ac:dyDescent="0.25">
      <c r="N141" s="1"/>
    </row>
    <row r="142" spans="14:14" ht="15.75" hidden="1" customHeight="1" x14ac:dyDescent="0.25">
      <c r="N142" s="1"/>
    </row>
    <row r="143" spans="14:14" ht="15.75" hidden="1" customHeight="1" x14ac:dyDescent="0.25">
      <c r="N143" s="1"/>
    </row>
    <row r="144" spans="14:14" ht="15.75" hidden="1" customHeight="1" x14ac:dyDescent="0.25">
      <c r="N144" s="1"/>
    </row>
    <row r="145" spans="14:14" ht="15.75" hidden="1" customHeight="1" x14ac:dyDescent="0.25">
      <c r="N145" s="1"/>
    </row>
    <row r="146" spans="14:14" ht="15.75" hidden="1" customHeight="1" x14ac:dyDescent="0.25">
      <c r="N146" s="1"/>
    </row>
    <row r="147" spans="14:14" ht="15.75" hidden="1" customHeight="1" x14ac:dyDescent="0.25">
      <c r="N147" s="1"/>
    </row>
    <row r="148" spans="14:14" ht="15.75" hidden="1" customHeight="1" x14ac:dyDescent="0.25">
      <c r="N148" s="1"/>
    </row>
    <row r="149" spans="14:14" ht="15.75" hidden="1" customHeight="1" x14ac:dyDescent="0.25">
      <c r="N149" s="1"/>
    </row>
    <row r="150" spans="14:14" ht="15.75" hidden="1" customHeight="1" x14ac:dyDescent="0.25">
      <c r="N150" s="1"/>
    </row>
    <row r="151" spans="14:14" ht="15.75" hidden="1" customHeight="1" x14ac:dyDescent="0.25">
      <c r="N151" s="1"/>
    </row>
    <row r="152" spans="14:14" ht="15.75" hidden="1" customHeight="1" x14ac:dyDescent="0.25">
      <c r="N152" s="1"/>
    </row>
    <row r="153" spans="14:14" ht="15.75" hidden="1" customHeight="1" x14ac:dyDescent="0.25">
      <c r="N153" s="1"/>
    </row>
    <row r="154" spans="14:14" ht="15.75" hidden="1" customHeight="1" x14ac:dyDescent="0.25">
      <c r="N154" s="1"/>
    </row>
    <row r="155" spans="14:14" ht="15.75" hidden="1" customHeight="1" x14ac:dyDescent="0.25">
      <c r="N155" s="1"/>
    </row>
    <row r="156" spans="14:14" ht="15.75" hidden="1" customHeight="1" x14ac:dyDescent="0.25">
      <c r="N156" s="1"/>
    </row>
    <row r="157" spans="14:14" ht="15.75" hidden="1" customHeight="1" x14ac:dyDescent="0.25">
      <c r="N157" s="1"/>
    </row>
    <row r="158" spans="14:14" ht="15.75" hidden="1" customHeight="1" x14ac:dyDescent="0.25">
      <c r="N158" s="1"/>
    </row>
    <row r="159" spans="14:14" ht="15.75" hidden="1" customHeight="1" x14ac:dyDescent="0.25">
      <c r="N159" s="1"/>
    </row>
    <row r="160" spans="14:14" ht="15.75" hidden="1" customHeight="1" x14ac:dyDescent="0.25">
      <c r="N160" s="1"/>
    </row>
    <row r="161" spans="14:14" ht="15.75" hidden="1" customHeight="1" x14ac:dyDescent="0.25">
      <c r="N161" s="1"/>
    </row>
    <row r="162" spans="14:14" ht="15.75" hidden="1" customHeight="1" x14ac:dyDescent="0.25">
      <c r="N162" s="1"/>
    </row>
    <row r="163" spans="14:14" ht="15.75" hidden="1" customHeight="1" x14ac:dyDescent="0.25">
      <c r="N163" s="1"/>
    </row>
    <row r="164" spans="14:14" ht="15.75" hidden="1" customHeight="1" x14ac:dyDescent="0.25">
      <c r="N164" s="1"/>
    </row>
    <row r="165" spans="14:14" ht="15.75" hidden="1" customHeight="1" x14ac:dyDescent="0.25">
      <c r="N165" s="1"/>
    </row>
    <row r="166" spans="14:14" ht="15.75" hidden="1" customHeight="1" x14ac:dyDescent="0.25">
      <c r="N166" s="1"/>
    </row>
    <row r="167" spans="14:14" ht="15.75" hidden="1" customHeight="1" x14ac:dyDescent="0.25">
      <c r="N167" s="1"/>
    </row>
    <row r="168" spans="14:14" ht="15.75" hidden="1" customHeight="1" x14ac:dyDescent="0.25">
      <c r="N168" s="1"/>
    </row>
    <row r="169" spans="14:14" ht="15.75" hidden="1" customHeight="1" x14ac:dyDescent="0.25">
      <c r="N169" s="1"/>
    </row>
    <row r="170" spans="14:14" ht="15.75" hidden="1" customHeight="1" x14ac:dyDescent="0.25">
      <c r="N170" s="1"/>
    </row>
    <row r="171" spans="14:14" ht="15.75" hidden="1" customHeight="1" x14ac:dyDescent="0.25">
      <c r="N171" s="1"/>
    </row>
    <row r="172" spans="14:14" ht="15.75" hidden="1" customHeight="1" x14ac:dyDescent="0.25">
      <c r="N172" s="1"/>
    </row>
    <row r="173" spans="14:14" ht="15.75" hidden="1" customHeight="1" x14ac:dyDescent="0.25">
      <c r="N173" s="1"/>
    </row>
    <row r="174" spans="14:14" ht="15.75" hidden="1" customHeight="1" x14ac:dyDescent="0.25">
      <c r="N174" s="1"/>
    </row>
    <row r="175" spans="14:14" ht="15.75" hidden="1" customHeight="1" x14ac:dyDescent="0.25">
      <c r="N175" s="1"/>
    </row>
    <row r="176" spans="14:14" ht="15.75" hidden="1" customHeight="1" x14ac:dyDescent="0.25">
      <c r="N176" s="1"/>
    </row>
    <row r="177" spans="14:14" ht="15.75" hidden="1" customHeight="1" x14ac:dyDescent="0.25">
      <c r="N177" s="1"/>
    </row>
    <row r="178" spans="14:14" ht="15.75" hidden="1" customHeight="1" x14ac:dyDescent="0.25">
      <c r="N178" s="1"/>
    </row>
    <row r="179" spans="14:14" ht="15.75" hidden="1" customHeight="1" x14ac:dyDescent="0.25">
      <c r="N179" s="1"/>
    </row>
    <row r="180" spans="14:14" ht="15.75" hidden="1" customHeight="1" x14ac:dyDescent="0.25">
      <c r="N180" s="1"/>
    </row>
    <row r="181" spans="14:14" ht="15.75" hidden="1" customHeight="1" x14ac:dyDescent="0.25">
      <c r="N181" s="1"/>
    </row>
    <row r="182" spans="14:14" ht="15.75" hidden="1" customHeight="1" x14ac:dyDescent="0.25">
      <c r="N182" s="1"/>
    </row>
    <row r="183" spans="14:14" ht="15.75" hidden="1" customHeight="1" x14ac:dyDescent="0.25">
      <c r="N183" s="1"/>
    </row>
    <row r="184" spans="14:14" ht="15.75" hidden="1" customHeight="1" x14ac:dyDescent="0.25">
      <c r="N184" s="1"/>
    </row>
    <row r="185" spans="14:14" ht="15.75" hidden="1" customHeight="1" x14ac:dyDescent="0.25">
      <c r="N185" s="1"/>
    </row>
    <row r="186" spans="14:14" ht="15.75" hidden="1" customHeight="1" x14ac:dyDescent="0.25">
      <c r="N186" s="1"/>
    </row>
    <row r="187" spans="14:14" ht="15.75" hidden="1" customHeight="1" x14ac:dyDescent="0.25">
      <c r="N187" s="1"/>
    </row>
    <row r="188" spans="14:14" ht="15.75" hidden="1" customHeight="1" x14ac:dyDescent="0.25">
      <c r="N188" s="1"/>
    </row>
    <row r="189" spans="14:14" ht="15.75" hidden="1" customHeight="1" x14ac:dyDescent="0.25">
      <c r="N189" s="1"/>
    </row>
    <row r="190" spans="14:14" ht="15.75" hidden="1" customHeight="1" x14ac:dyDescent="0.25">
      <c r="N190" s="1"/>
    </row>
    <row r="191" spans="14:14" ht="15.75" hidden="1" customHeight="1" x14ac:dyDescent="0.25">
      <c r="N191" s="1"/>
    </row>
    <row r="192" spans="14:14" ht="15.75" hidden="1" customHeight="1" x14ac:dyDescent="0.25">
      <c r="N192" s="1"/>
    </row>
    <row r="193" spans="14:14" ht="15.75" hidden="1" customHeight="1" x14ac:dyDescent="0.25">
      <c r="N193" s="1"/>
    </row>
    <row r="194" spans="14:14" ht="15.75" hidden="1" customHeight="1" x14ac:dyDescent="0.25">
      <c r="N194" s="1"/>
    </row>
    <row r="195" spans="14:14" ht="15.75" hidden="1" customHeight="1" x14ac:dyDescent="0.25">
      <c r="N195" s="1"/>
    </row>
    <row r="196" spans="14:14" ht="15.75" hidden="1" customHeight="1" x14ac:dyDescent="0.25">
      <c r="N196" s="1"/>
    </row>
    <row r="197" spans="14:14" ht="15.75" hidden="1" customHeight="1" x14ac:dyDescent="0.25">
      <c r="N197" s="1"/>
    </row>
    <row r="198" spans="14:14" ht="15.75" hidden="1" customHeight="1" x14ac:dyDescent="0.25">
      <c r="N198" s="1"/>
    </row>
    <row r="199" spans="14:14" ht="15.75" hidden="1" customHeight="1" x14ac:dyDescent="0.25">
      <c r="N199" s="1"/>
    </row>
    <row r="200" spans="14:14" ht="15.75" hidden="1" customHeight="1" x14ac:dyDescent="0.25">
      <c r="N200" s="1"/>
    </row>
    <row r="201" spans="14:14" ht="15.75" hidden="1" customHeight="1" x14ac:dyDescent="0.25">
      <c r="N201" s="1"/>
    </row>
    <row r="202" spans="14:14" ht="15.75" hidden="1" customHeight="1" x14ac:dyDescent="0.25">
      <c r="N202" s="1"/>
    </row>
    <row r="203" spans="14:14" ht="15.75" hidden="1" customHeight="1" x14ac:dyDescent="0.25">
      <c r="N203" s="1"/>
    </row>
    <row r="204" spans="14:14" ht="15.75" hidden="1" customHeight="1" x14ac:dyDescent="0.25">
      <c r="N204" s="1"/>
    </row>
    <row r="205" spans="14:14" ht="15.75" hidden="1" customHeight="1" x14ac:dyDescent="0.25">
      <c r="N205" s="1"/>
    </row>
    <row r="206" spans="14:14" ht="15.75" hidden="1" customHeight="1" x14ac:dyDescent="0.25">
      <c r="N206" s="1"/>
    </row>
    <row r="207" spans="14:14" ht="15.75" hidden="1" customHeight="1" x14ac:dyDescent="0.25">
      <c r="N207" s="1"/>
    </row>
    <row r="208" spans="14:14" ht="15.75" hidden="1" customHeight="1" x14ac:dyDescent="0.25">
      <c r="N208" s="1"/>
    </row>
    <row r="209" spans="14:14" ht="15.75" hidden="1" customHeight="1" x14ac:dyDescent="0.25">
      <c r="N209" s="1"/>
    </row>
    <row r="210" spans="14:14" ht="15.75" hidden="1" customHeight="1" x14ac:dyDescent="0.25">
      <c r="N210" s="1"/>
    </row>
    <row r="211" spans="14:14" ht="15.75" hidden="1" customHeight="1" x14ac:dyDescent="0.25">
      <c r="N211" s="1"/>
    </row>
    <row r="212" spans="14:14" ht="15.75" hidden="1" customHeight="1" x14ac:dyDescent="0.25">
      <c r="N212" s="1"/>
    </row>
    <row r="213" spans="14:14" ht="15.75" hidden="1" customHeight="1" x14ac:dyDescent="0.25">
      <c r="N213" s="1"/>
    </row>
    <row r="214" spans="14:14" ht="15.75" hidden="1" customHeight="1" x14ac:dyDescent="0.25">
      <c r="N214" s="1"/>
    </row>
    <row r="215" spans="14:14" ht="15.75" hidden="1" customHeight="1" x14ac:dyDescent="0.25">
      <c r="N215" s="1"/>
    </row>
    <row r="216" spans="14:14" ht="15.75" hidden="1" customHeight="1" x14ac:dyDescent="0.25">
      <c r="N216" s="1"/>
    </row>
    <row r="217" spans="14:14" ht="15.75" hidden="1" customHeight="1" x14ac:dyDescent="0.25">
      <c r="N217" s="1"/>
    </row>
    <row r="218" spans="14:14" ht="15.75" hidden="1" customHeight="1" x14ac:dyDescent="0.25">
      <c r="N218" s="1"/>
    </row>
    <row r="219" spans="14:14" ht="15.75" hidden="1" customHeight="1" x14ac:dyDescent="0.25">
      <c r="N219" s="1"/>
    </row>
    <row r="220" spans="14:14" ht="15.75" hidden="1" customHeight="1" x14ac:dyDescent="0.25">
      <c r="N220" s="1"/>
    </row>
    <row r="221" spans="14:14" ht="15.75" hidden="1" customHeight="1" x14ac:dyDescent="0.25">
      <c r="N221" s="1"/>
    </row>
    <row r="222" spans="14:14" ht="15.75" hidden="1" customHeight="1" x14ac:dyDescent="0.25">
      <c r="N222" s="1"/>
    </row>
    <row r="223" spans="14:14" ht="15.75" hidden="1" customHeight="1" x14ac:dyDescent="0.25">
      <c r="N223" s="1"/>
    </row>
    <row r="224" spans="14:14" ht="15.75" hidden="1" customHeight="1" x14ac:dyDescent="0.25">
      <c r="N224" s="1"/>
    </row>
    <row r="225" spans="14:14" ht="15.75" hidden="1" customHeight="1" x14ac:dyDescent="0.25">
      <c r="N225" s="1"/>
    </row>
    <row r="226" spans="14:14" ht="15.75" hidden="1" customHeight="1" x14ac:dyDescent="0.25">
      <c r="N226" s="1"/>
    </row>
    <row r="227" spans="14:14" ht="15.75" hidden="1" customHeight="1" x14ac:dyDescent="0.25">
      <c r="N227" s="1"/>
    </row>
    <row r="228" spans="14:14" ht="15.75" hidden="1" customHeight="1" x14ac:dyDescent="0.25">
      <c r="N228" s="1"/>
    </row>
    <row r="229" spans="14:14" ht="15.75" hidden="1" customHeight="1" x14ac:dyDescent="0.25">
      <c r="N229" s="1"/>
    </row>
    <row r="230" spans="14:14" ht="15.75" hidden="1" customHeight="1" x14ac:dyDescent="0.25">
      <c r="N230" s="1"/>
    </row>
    <row r="231" spans="14:14" ht="15.75" hidden="1" customHeight="1" x14ac:dyDescent="0.25">
      <c r="N231" s="1"/>
    </row>
    <row r="232" spans="14:14" ht="15.75" hidden="1" customHeight="1" x14ac:dyDescent="0.25">
      <c r="N232" s="1"/>
    </row>
    <row r="233" spans="14:14" ht="15.75" hidden="1" customHeight="1" x14ac:dyDescent="0.25">
      <c r="N233" s="1"/>
    </row>
    <row r="234" spans="14:14" ht="15.75" hidden="1" customHeight="1" x14ac:dyDescent="0.25">
      <c r="N234" s="1"/>
    </row>
    <row r="235" spans="14:14" ht="15.75" hidden="1" customHeight="1" x14ac:dyDescent="0.25">
      <c r="N235" s="1"/>
    </row>
    <row r="236" spans="14:14" ht="15.75" hidden="1" customHeight="1" x14ac:dyDescent="0.25">
      <c r="N236" s="1"/>
    </row>
    <row r="237" spans="14:14" ht="15.75" hidden="1" customHeight="1" x14ac:dyDescent="0.25">
      <c r="N237" s="1"/>
    </row>
    <row r="238" spans="14:14" ht="15.75" hidden="1" customHeight="1" x14ac:dyDescent="0.25">
      <c r="N238" s="1"/>
    </row>
    <row r="239" spans="14:14" ht="15.75" hidden="1" customHeight="1" x14ac:dyDescent="0.25">
      <c r="N239" s="1"/>
    </row>
    <row r="240" spans="14:14" ht="15.75" hidden="1" customHeight="1" x14ac:dyDescent="0.25">
      <c r="N240" s="1"/>
    </row>
    <row r="241" spans="14:14" ht="15.75" hidden="1" customHeight="1" x14ac:dyDescent="0.25">
      <c r="N241" s="1"/>
    </row>
    <row r="242" spans="14:14" ht="15.75" hidden="1" customHeight="1" x14ac:dyDescent="0.25">
      <c r="N242" s="1"/>
    </row>
    <row r="243" spans="14:14" ht="15.75" hidden="1" customHeight="1" x14ac:dyDescent="0.25">
      <c r="N243" s="1"/>
    </row>
    <row r="244" spans="14:14" ht="15.75" hidden="1" customHeight="1" x14ac:dyDescent="0.25">
      <c r="N244" s="1"/>
    </row>
    <row r="245" spans="14:14" ht="15.75" hidden="1" customHeight="1" x14ac:dyDescent="0.25">
      <c r="N245" s="1"/>
    </row>
    <row r="246" spans="14:14" ht="15.75" hidden="1" customHeight="1" x14ac:dyDescent="0.25">
      <c r="N246" s="1"/>
    </row>
    <row r="247" spans="14:14" ht="15.75" hidden="1" customHeight="1" x14ac:dyDescent="0.25">
      <c r="N247" s="1"/>
    </row>
    <row r="248" spans="14:14" ht="15.75" hidden="1" customHeight="1" x14ac:dyDescent="0.25">
      <c r="N248" s="1"/>
    </row>
    <row r="249" spans="14:14" ht="15.75" hidden="1" customHeight="1" x14ac:dyDescent="0.25">
      <c r="N249" s="1"/>
    </row>
    <row r="250" spans="14:14" ht="15.75" hidden="1" customHeight="1" x14ac:dyDescent="0.25">
      <c r="N250" s="1"/>
    </row>
    <row r="251" spans="14:14" ht="15.75" hidden="1" customHeight="1" x14ac:dyDescent="0.25">
      <c r="N251" s="1"/>
    </row>
    <row r="252" spans="14:14" ht="15.75" hidden="1" customHeight="1" x14ac:dyDescent="0.25">
      <c r="N252" s="1"/>
    </row>
    <row r="253" spans="14:14" ht="15.75" hidden="1" customHeight="1" x14ac:dyDescent="0.25">
      <c r="N253" s="1"/>
    </row>
    <row r="254" spans="14:14" ht="15.75" hidden="1" customHeight="1" x14ac:dyDescent="0.25">
      <c r="N254" s="1"/>
    </row>
    <row r="255" spans="14:14" ht="15.75" hidden="1" customHeight="1" x14ac:dyDescent="0.25">
      <c r="N255" s="1"/>
    </row>
    <row r="256" spans="14:14" ht="15.75" hidden="1" customHeight="1" x14ac:dyDescent="0.25">
      <c r="N256" s="1"/>
    </row>
    <row r="257" spans="14:14" ht="15.75" hidden="1" customHeight="1" x14ac:dyDescent="0.25">
      <c r="N257" s="1"/>
    </row>
    <row r="258" spans="14:14" ht="15.75" hidden="1" customHeight="1" x14ac:dyDescent="0.25">
      <c r="N258" s="1"/>
    </row>
    <row r="259" spans="14:14" ht="15.75" hidden="1" customHeight="1" x14ac:dyDescent="0.25">
      <c r="N259" s="1"/>
    </row>
    <row r="260" spans="14:14" ht="15.75" hidden="1" customHeight="1" x14ac:dyDescent="0.25">
      <c r="N260" s="1"/>
    </row>
    <row r="261" spans="14:14" ht="15.75" hidden="1" customHeight="1" x14ac:dyDescent="0.25">
      <c r="N261" s="1"/>
    </row>
    <row r="262" spans="14:14" ht="15.75" hidden="1" customHeight="1" x14ac:dyDescent="0.25">
      <c r="N262" s="1"/>
    </row>
    <row r="263" spans="14:14" ht="15.75" hidden="1" customHeight="1" x14ac:dyDescent="0.25">
      <c r="N263" s="1"/>
    </row>
    <row r="264" spans="14:14" ht="15.75" hidden="1" customHeight="1" x14ac:dyDescent="0.25">
      <c r="N264" s="1"/>
    </row>
    <row r="265" spans="14:14" ht="15.75" hidden="1" customHeight="1" x14ac:dyDescent="0.25">
      <c r="N265" s="1"/>
    </row>
    <row r="266" spans="14:14" ht="15.75" hidden="1" customHeight="1" x14ac:dyDescent="0.25">
      <c r="N266" s="1"/>
    </row>
    <row r="267" spans="14:14" ht="15.75" hidden="1" customHeight="1" x14ac:dyDescent="0.25">
      <c r="N267" s="1"/>
    </row>
    <row r="268" spans="14:14" ht="15.75" hidden="1" customHeight="1" x14ac:dyDescent="0.25">
      <c r="N268" s="1"/>
    </row>
    <row r="269" spans="14:14" ht="15.75" hidden="1" customHeight="1" x14ac:dyDescent="0.25">
      <c r="N269" s="1"/>
    </row>
    <row r="270" spans="14:14" ht="15.75" hidden="1" customHeight="1" x14ac:dyDescent="0.25">
      <c r="N270" s="1"/>
    </row>
    <row r="271" spans="14:14" ht="15.75" hidden="1" customHeight="1" x14ac:dyDescent="0.25">
      <c r="N271" s="1"/>
    </row>
    <row r="272" spans="14:14" ht="15.75" hidden="1" customHeight="1" x14ac:dyDescent="0.25">
      <c r="N272" s="1"/>
    </row>
    <row r="273" spans="14:14" ht="15.75" hidden="1" customHeight="1" x14ac:dyDescent="0.25">
      <c r="N273" s="1"/>
    </row>
    <row r="274" spans="14:14" ht="15.75" hidden="1" customHeight="1" x14ac:dyDescent="0.25">
      <c r="N274" s="1"/>
    </row>
    <row r="275" spans="14:14" ht="15.75" hidden="1" customHeight="1" x14ac:dyDescent="0.25">
      <c r="N275" s="1"/>
    </row>
    <row r="276" spans="14:14" ht="15.75" hidden="1" customHeight="1" x14ac:dyDescent="0.25">
      <c r="N276" s="1"/>
    </row>
    <row r="277" spans="14:14" ht="15.75" hidden="1" customHeight="1" x14ac:dyDescent="0.25">
      <c r="N277" s="1"/>
    </row>
    <row r="278" spans="14:14" ht="15.75" hidden="1" customHeight="1" x14ac:dyDescent="0.25">
      <c r="N278" s="1"/>
    </row>
    <row r="279" spans="14:14" ht="15.75" hidden="1" customHeight="1" x14ac:dyDescent="0.25">
      <c r="N279" s="1"/>
    </row>
    <row r="280" spans="14:14" ht="15.75" hidden="1" customHeight="1" x14ac:dyDescent="0.25">
      <c r="N280" s="1"/>
    </row>
    <row r="281" spans="14:14" ht="15.75" hidden="1" customHeight="1" x14ac:dyDescent="0.25">
      <c r="N281" s="1"/>
    </row>
    <row r="282" spans="14:14" ht="15.75" hidden="1" customHeight="1" x14ac:dyDescent="0.25">
      <c r="N282" s="1"/>
    </row>
    <row r="283" spans="14:14" ht="15.75" hidden="1" customHeight="1" x14ac:dyDescent="0.25">
      <c r="N283" s="1"/>
    </row>
    <row r="284" spans="14:14" ht="15.75" hidden="1" customHeight="1" x14ac:dyDescent="0.25">
      <c r="N284" s="1"/>
    </row>
    <row r="285" spans="14:14" ht="15.75" hidden="1" customHeight="1" x14ac:dyDescent="0.25">
      <c r="N285" s="1"/>
    </row>
    <row r="286" spans="14:14" ht="15.75" hidden="1" customHeight="1" x14ac:dyDescent="0.25">
      <c r="N286" s="1"/>
    </row>
    <row r="287" spans="14:14" ht="15.75" hidden="1" customHeight="1" x14ac:dyDescent="0.25">
      <c r="N287" s="1"/>
    </row>
    <row r="288" spans="14:14" ht="15.75" hidden="1" customHeight="1" x14ac:dyDescent="0.25">
      <c r="N288" s="1"/>
    </row>
    <row r="289" spans="14:14" ht="15.75" hidden="1" customHeight="1" x14ac:dyDescent="0.25">
      <c r="N289" s="1"/>
    </row>
    <row r="290" spans="14:14" ht="15.75" hidden="1" customHeight="1" x14ac:dyDescent="0.25">
      <c r="N290" s="1"/>
    </row>
    <row r="291" spans="14:14" ht="15.75" hidden="1" customHeight="1" x14ac:dyDescent="0.25">
      <c r="N291" s="1"/>
    </row>
    <row r="292" spans="14:14" ht="15.75" hidden="1" customHeight="1" x14ac:dyDescent="0.25">
      <c r="N292" s="1"/>
    </row>
    <row r="293" spans="14:14" ht="15.75" hidden="1" customHeight="1" x14ac:dyDescent="0.25">
      <c r="N293" s="1"/>
    </row>
    <row r="294" spans="14:14" ht="15.75" hidden="1" customHeight="1" x14ac:dyDescent="0.25">
      <c r="N294" s="1"/>
    </row>
    <row r="295" spans="14:14" ht="15.75" hidden="1" customHeight="1" x14ac:dyDescent="0.25">
      <c r="N295" s="1"/>
    </row>
    <row r="296" spans="14:14" ht="15.75" hidden="1" customHeight="1" x14ac:dyDescent="0.25">
      <c r="N296" s="1"/>
    </row>
    <row r="297" spans="14:14" ht="15.75" hidden="1" customHeight="1" x14ac:dyDescent="0.25">
      <c r="N297" s="1"/>
    </row>
    <row r="298" spans="14:14" ht="15.75" hidden="1" customHeight="1" x14ac:dyDescent="0.25">
      <c r="N298" s="1"/>
    </row>
    <row r="299" spans="14:14" ht="15.75" hidden="1" customHeight="1" x14ac:dyDescent="0.25">
      <c r="N299" s="1"/>
    </row>
    <row r="300" spans="14:14" ht="15.75" hidden="1" customHeight="1" x14ac:dyDescent="0.25">
      <c r="N300" s="1"/>
    </row>
    <row r="301" spans="14:14" ht="15.75" hidden="1" customHeight="1" x14ac:dyDescent="0.25">
      <c r="N301" s="1"/>
    </row>
    <row r="302" spans="14:14" ht="15.75" hidden="1" customHeight="1" x14ac:dyDescent="0.25">
      <c r="N302" s="1"/>
    </row>
    <row r="303" spans="14:14" ht="15.75" hidden="1" customHeight="1" x14ac:dyDescent="0.25">
      <c r="N303" s="1"/>
    </row>
    <row r="304" spans="14:14" ht="15.75" hidden="1" customHeight="1" x14ac:dyDescent="0.25">
      <c r="N304" s="1"/>
    </row>
    <row r="305" spans="14:14" ht="15.75" hidden="1" customHeight="1" x14ac:dyDescent="0.25">
      <c r="N305" s="1"/>
    </row>
    <row r="306" spans="14:14" ht="15.75" hidden="1" customHeight="1" x14ac:dyDescent="0.25">
      <c r="N306" s="1"/>
    </row>
    <row r="307" spans="14:14" ht="15.75" hidden="1" customHeight="1" x14ac:dyDescent="0.25">
      <c r="N307" s="1"/>
    </row>
    <row r="308" spans="14:14" ht="15.75" hidden="1" customHeight="1" x14ac:dyDescent="0.25">
      <c r="N308" s="1"/>
    </row>
    <row r="309" spans="14:14" ht="15.75" hidden="1" customHeight="1" x14ac:dyDescent="0.25">
      <c r="N309" s="1"/>
    </row>
    <row r="310" spans="14:14" ht="15.75" hidden="1" customHeight="1" x14ac:dyDescent="0.25">
      <c r="N310" s="1"/>
    </row>
    <row r="311" spans="14:14" ht="15.75" hidden="1" customHeight="1" x14ac:dyDescent="0.25">
      <c r="N311" s="1"/>
    </row>
    <row r="312" spans="14:14" ht="15.75" hidden="1" customHeight="1" x14ac:dyDescent="0.25">
      <c r="N312" s="1"/>
    </row>
    <row r="313" spans="14:14" ht="15.75" hidden="1" customHeight="1" x14ac:dyDescent="0.25">
      <c r="N313" s="1"/>
    </row>
    <row r="314" spans="14:14" ht="15.75" hidden="1" customHeight="1" x14ac:dyDescent="0.25">
      <c r="N314" s="1"/>
    </row>
    <row r="315" spans="14:14" ht="15.75" hidden="1" customHeight="1" x14ac:dyDescent="0.25">
      <c r="N315" s="1"/>
    </row>
    <row r="316" spans="14:14" ht="15.75" hidden="1" customHeight="1" x14ac:dyDescent="0.25">
      <c r="N316" s="1"/>
    </row>
    <row r="317" spans="14:14" ht="15.75" hidden="1" customHeight="1" x14ac:dyDescent="0.25">
      <c r="N317" s="1"/>
    </row>
    <row r="318" spans="14:14" ht="15.75" hidden="1" customHeight="1" x14ac:dyDescent="0.25">
      <c r="N318" s="1"/>
    </row>
    <row r="319" spans="14:14" ht="15.75" hidden="1" customHeight="1" x14ac:dyDescent="0.25">
      <c r="N319" s="1"/>
    </row>
    <row r="320" spans="14:14" ht="15.75" hidden="1" customHeight="1" x14ac:dyDescent="0.25">
      <c r="N320" s="1"/>
    </row>
    <row r="321" spans="14:14" ht="15.75" hidden="1" customHeight="1" x14ac:dyDescent="0.25">
      <c r="N321" s="1"/>
    </row>
    <row r="322" spans="14:14" ht="15.75" hidden="1" customHeight="1" x14ac:dyDescent="0.25">
      <c r="N322" s="1"/>
    </row>
    <row r="323" spans="14:14" ht="15.75" hidden="1" customHeight="1" x14ac:dyDescent="0.25">
      <c r="N323" s="1"/>
    </row>
    <row r="324" spans="14:14" ht="15.75" hidden="1" customHeight="1" x14ac:dyDescent="0.25">
      <c r="N324" s="1"/>
    </row>
    <row r="325" spans="14:14" ht="15.75" hidden="1" customHeight="1" x14ac:dyDescent="0.25">
      <c r="N325" s="1"/>
    </row>
    <row r="326" spans="14:14" ht="15.75" hidden="1" customHeight="1" x14ac:dyDescent="0.25">
      <c r="N326" s="1"/>
    </row>
    <row r="327" spans="14:14" ht="15.75" hidden="1" customHeight="1" x14ac:dyDescent="0.25">
      <c r="N327" s="1"/>
    </row>
    <row r="328" spans="14:14" ht="15.75" hidden="1" customHeight="1" x14ac:dyDescent="0.25">
      <c r="N328" s="1"/>
    </row>
    <row r="329" spans="14:14" ht="15.75" hidden="1" customHeight="1" x14ac:dyDescent="0.25">
      <c r="N329" s="1"/>
    </row>
    <row r="330" spans="14:14" ht="15.75" hidden="1" customHeight="1" x14ac:dyDescent="0.25">
      <c r="N330" s="1"/>
    </row>
    <row r="331" spans="14:14" ht="15.75" hidden="1" customHeight="1" x14ac:dyDescent="0.25">
      <c r="N331" s="1"/>
    </row>
    <row r="332" spans="14:14" ht="15.75" hidden="1" customHeight="1" x14ac:dyDescent="0.25">
      <c r="N332" s="1"/>
    </row>
    <row r="333" spans="14:14" ht="15.75" hidden="1" customHeight="1" x14ac:dyDescent="0.25">
      <c r="N333" s="1"/>
    </row>
    <row r="334" spans="14:14" ht="15.75" hidden="1" customHeight="1" x14ac:dyDescent="0.25">
      <c r="N334" s="1"/>
    </row>
    <row r="335" spans="14:14" ht="15.75" hidden="1" customHeight="1" x14ac:dyDescent="0.25">
      <c r="N335" s="1"/>
    </row>
    <row r="336" spans="14:14" ht="15.75" hidden="1" customHeight="1" x14ac:dyDescent="0.25">
      <c r="N336" s="1"/>
    </row>
    <row r="337" spans="14:14" ht="15.75" hidden="1" customHeight="1" x14ac:dyDescent="0.25">
      <c r="N337" s="1"/>
    </row>
    <row r="338" spans="14:14" ht="15.75" hidden="1" customHeight="1" x14ac:dyDescent="0.25">
      <c r="N338" s="1"/>
    </row>
    <row r="339" spans="14:14" ht="15.75" hidden="1" customHeight="1" x14ac:dyDescent="0.25">
      <c r="N339" s="1"/>
    </row>
    <row r="340" spans="14:14" ht="15.75" hidden="1" customHeight="1" x14ac:dyDescent="0.25">
      <c r="N340" s="1"/>
    </row>
    <row r="341" spans="14:14" ht="15.75" hidden="1" customHeight="1" x14ac:dyDescent="0.25">
      <c r="N341" s="1"/>
    </row>
    <row r="342" spans="14:14" ht="15.75" hidden="1" customHeight="1" x14ac:dyDescent="0.25">
      <c r="N342" s="1"/>
    </row>
    <row r="343" spans="14:14" ht="15.75" hidden="1" customHeight="1" x14ac:dyDescent="0.25">
      <c r="N343" s="1"/>
    </row>
    <row r="344" spans="14:14" ht="15.75" hidden="1" customHeight="1" x14ac:dyDescent="0.25">
      <c r="N344" s="1"/>
    </row>
    <row r="345" spans="14:14" ht="15.75" hidden="1" customHeight="1" x14ac:dyDescent="0.25">
      <c r="N345" s="1"/>
    </row>
    <row r="346" spans="14:14" ht="15.75" hidden="1" customHeight="1" x14ac:dyDescent="0.25">
      <c r="N346" s="1"/>
    </row>
    <row r="347" spans="14:14" ht="15.75" hidden="1" customHeight="1" x14ac:dyDescent="0.25">
      <c r="N347" s="1"/>
    </row>
    <row r="348" spans="14:14" ht="15.75" hidden="1" customHeight="1" x14ac:dyDescent="0.25">
      <c r="N348" s="1"/>
    </row>
    <row r="349" spans="14:14" ht="15.75" hidden="1" customHeight="1" x14ac:dyDescent="0.25">
      <c r="N349" s="1"/>
    </row>
    <row r="350" spans="14:14" ht="15.75" hidden="1" customHeight="1" x14ac:dyDescent="0.25">
      <c r="N350" s="1"/>
    </row>
    <row r="351" spans="14:14" ht="15.75" hidden="1" customHeight="1" x14ac:dyDescent="0.25">
      <c r="N351" s="1"/>
    </row>
    <row r="352" spans="14:14" ht="15.75" hidden="1" customHeight="1" x14ac:dyDescent="0.25">
      <c r="N352" s="1"/>
    </row>
    <row r="353" spans="14:14" ht="15.75" hidden="1" customHeight="1" x14ac:dyDescent="0.25">
      <c r="N353" s="1"/>
    </row>
    <row r="354" spans="14:14" ht="15.75" hidden="1" customHeight="1" x14ac:dyDescent="0.25">
      <c r="N354" s="1"/>
    </row>
    <row r="355" spans="14:14" ht="15.75" hidden="1" customHeight="1" x14ac:dyDescent="0.25">
      <c r="N355" s="1"/>
    </row>
    <row r="356" spans="14:14" ht="15.75" hidden="1" customHeight="1" x14ac:dyDescent="0.25">
      <c r="N356" s="1"/>
    </row>
    <row r="357" spans="14:14" ht="15.75" hidden="1" customHeight="1" x14ac:dyDescent="0.25">
      <c r="N357" s="1"/>
    </row>
    <row r="358" spans="14:14" ht="15.75" hidden="1" customHeight="1" x14ac:dyDescent="0.25">
      <c r="N358" s="1"/>
    </row>
    <row r="359" spans="14:14" ht="15.75" hidden="1" customHeight="1" x14ac:dyDescent="0.25">
      <c r="N359" s="1"/>
    </row>
    <row r="360" spans="14:14" ht="15.75" hidden="1" customHeight="1" x14ac:dyDescent="0.25">
      <c r="N360" s="1"/>
    </row>
    <row r="361" spans="14:14" ht="15.75" hidden="1" customHeight="1" x14ac:dyDescent="0.25">
      <c r="N361" s="1"/>
    </row>
    <row r="362" spans="14:14" ht="15.75" hidden="1" customHeight="1" x14ac:dyDescent="0.25">
      <c r="N362" s="1"/>
    </row>
    <row r="363" spans="14:14" ht="15.75" hidden="1" customHeight="1" x14ac:dyDescent="0.25">
      <c r="N363" s="1"/>
    </row>
    <row r="364" spans="14:14" ht="15.75" hidden="1" customHeight="1" x14ac:dyDescent="0.25">
      <c r="N364" s="1"/>
    </row>
    <row r="365" spans="14:14" ht="15.75" hidden="1" customHeight="1" x14ac:dyDescent="0.25">
      <c r="N365" s="1"/>
    </row>
    <row r="366" spans="14:14" ht="15.75" hidden="1" customHeight="1" x14ac:dyDescent="0.25">
      <c r="N366" s="1"/>
    </row>
    <row r="367" spans="14:14" ht="15.75" hidden="1" customHeight="1" x14ac:dyDescent="0.25">
      <c r="N367" s="1"/>
    </row>
    <row r="368" spans="14:14" ht="15.75" hidden="1" customHeight="1" x14ac:dyDescent="0.25">
      <c r="N368" s="1"/>
    </row>
    <row r="369" spans="14:14" ht="15.75" hidden="1" customHeight="1" x14ac:dyDescent="0.25">
      <c r="N369" s="1"/>
    </row>
    <row r="370" spans="14:14" ht="15.75" hidden="1" customHeight="1" x14ac:dyDescent="0.25">
      <c r="N370" s="1"/>
    </row>
    <row r="371" spans="14:14" ht="15.75" hidden="1" customHeight="1" x14ac:dyDescent="0.25">
      <c r="N371" s="1"/>
    </row>
    <row r="372" spans="14:14" ht="15.75" hidden="1" customHeight="1" x14ac:dyDescent="0.25">
      <c r="N372" s="1"/>
    </row>
    <row r="373" spans="14:14" ht="15.75" hidden="1" customHeight="1" x14ac:dyDescent="0.25">
      <c r="N373" s="1"/>
    </row>
    <row r="374" spans="14:14" ht="15.75" hidden="1" customHeight="1" x14ac:dyDescent="0.25">
      <c r="N374" s="1"/>
    </row>
    <row r="375" spans="14:14" ht="15.75" hidden="1" customHeight="1" x14ac:dyDescent="0.25">
      <c r="N375" s="1"/>
    </row>
    <row r="376" spans="14:14" ht="15.75" hidden="1" customHeight="1" x14ac:dyDescent="0.25">
      <c r="N376" s="1"/>
    </row>
    <row r="377" spans="14:14" ht="15.75" hidden="1" customHeight="1" x14ac:dyDescent="0.25">
      <c r="N377" s="1"/>
    </row>
    <row r="378" spans="14:14" ht="15.75" hidden="1" customHeight="1" x14ac:dyDescent="0.25">
      <c r="N378" s="1"/>
    </row>
    <row r="379" spans="14:14" ht="15.75" hidden="1" customHeight="1" x14ac:dyDescent="0.25">
      <c r="N379" s="1"/>
    </row>
    <row r="380" spans="14:14" ht="15.75" hidden="1" customHeight="1" x14ac:dyDescent="0.25">
      <c r="N380" s="1"/>
    </row>
    <row r="381" spans="14:14" ht="15.75" hidden="1" customHeight="1" x14ac:dyDescent="0.25">
      <c r="N381" s="1"/>
    </row>
    <row r="382" spans="14:14" ht="15.75" hidden="1" customHeight="1" x14ac:dyDescent="0.25">
      <c r="N382" s="1"/>
    </row>
    <row r="383" spans="14:14" ht="15.75" hidden="1" customHeight="1" x14ac:dyDescent="0.25">
      <c r="N383" s="1"/>
    </row>
    <row r="384" spans="14:14" ht="15.75" hidden="1" customHeight="1" x14ac:dyDescent="0.25">
      <c r="N384" s="1"/>
    </row>
    <row r="385" spans="14:14" ht="15.75" hidden="1" customHeight="1" x14ac:dyDescent="0.25">
      <c r="N385" s="1"/>
    </row>
    <row r="386" spans="14:14" ht="15.75" hidden="1" customHeight="1" x14ac:dyDescent="0.25">
      <c r="N386" s="1"/>
    </row>
    <row r="387" spans="14:14" ht="15.75" hidden="1" customHeight="1" x14ac:dyDescent="0.25">
      <c r="N387" s="1"/>
    </row>
    <row r="388" spans="14:14" ht="15.75" hidden="1" customHeight="1" x14ac:dyDescent="0.25">
      <c r="N388" s="1"/>
    </row>
    <row r="389" spans="14:14" ht="15.75" hidden="1" customHeight="1" x14ac:dyDescent="0.25">
      <c r="N389" s="1"/>
    </row>
    <row r="390" spans="14:14" ht="15.75" hidden="1" customHeight="1" x14ac:dyDescent="0.25">
      <c r="N390" s="1"/>
    </row>
    <row r="391" spans="14:14" ht="15.75" hidden="1" customHeight="1" x14ac:dyDescent="0.25">
      <c r="N391" s="1"/>
    </row>
    <row r="392" spans="14:14" ht="15.75" hidden="1" customHeight="1" x14ac:dyDescent="0.25">
      <c r="N392" s="1"/>
    </row>
    <row r="393" spans="14:14" ht="15.75" hidden="1" customHeight="1" x14ac:dyDescent="0.25">
      <c r="N393" s="1"/>
    </row>
    <row r="394" spans="14:14" ht="15.75" hidden="1" customHeight="1" x14ac:dyDescent="0.25">
      <c r="N394" s="1"/>
    </row>
    <row r="395" spans="14:14" ht="15.75" hidden="1" customHeight="1" x14ac:dyDescent="0.25">
      <c r="N395" s="1"/>
    </row>
    <row r="396" spans="14:14" ht="15.75" hidden="1" customHeight="1" x14ac:dyDescent="0.25">
      <c r="N396" s="1"/>
    </row>
    <row r="397" spans="14:14" ht="15.75" hidden="1" customHeight="1" x14ac:dyDescent="0.25">
      <c r="N397" s="1"/>
    </row>
    <row r="398" spans="14:14" ht="15.75" hidden="1" customHeight="1" x14ac:dyDescent="0.25">
      <c r="N398" s="1"/>
    </row>
    <row r="399" spans="14:14" ht="15.75" hidden="1" customHeight="1" x14ac:dyDescent="0.25">
      <c r="N399" s="1"/>
    </row>
    <row r="400" spans="14:14" ht="15.75" hidden="1" customHeight="1" x14ac:dyDescent="0.25">
      <c r="N400" s="1"/>
    </row>
    <row r="401" spans="14:14" ht="15.75" hidden="1" customHeight="1" x14ac:dyDescent="0.25">
      <c r="N401" s="1"/>
    </row>
    <row r="402" spans="14:14" ht="15.75" hidden="1" customHeight="1" x14ac:dyDescent="0.25">
      <c r="N402" s="1"/>
    </row>
    <row r="403" spans="14:14" ht="15.75" hidden="1" customHeight="1" x14ac:dyDescent="0.25">
      <c r="N403" s="1"/>
    </row>
    <row r="404" spans="14:14" ht="15.75" hidden="1" customHeight="1" x14ac:dyDescent="0.25">
      <c r="N404" s="1"/>
    </row>
    <row r="405" spans="14:14" ht="15.75" hidden="1" customHeight="1" x14ac:dyDescent="0.25">
      <c r="N405" s="1"/>
    </row>
    <row r="406" spans="14:14" ht="15.75" hidden="1" customHeight="1" x14ac:dyDescent="0.25">
      <c r="N406" s="1"/>
    </row>
    <row r="407" spans="14:14" ht="15.75" hidden="1" customHeight="1" x14ac:dyDescent="0.25">
      <c r="N407" s="1"/>
    </row>
    <row r="408" spans="14:14" ht="15.75" hidden="1" customHeight="1" x14ac:dyDescent="0.25">
      <c r="N408" s="1"/>
    </row>
    <row r="409" spans="14:14" ht="15.75" hidden="1" customHeight="1" x14ac:dyDescent="0.25">
      <c r="N409" s="1"/>
    </row>
    <row r="410" spans="14:14" ht="15.75" hidden="1" customHeight="1" x14ac:dyDescent="0.25">
      <c r="N410" s="1"/>
    </row>
    <row r="411" spans="14:14" ht="15.75" hidden="1" customHeight="1" x14ac:dyDescent="0.25">
      <c r="N411" s="1"/>
    </row>
    <row r="412" spans="14:14" ht="15.75" hidden="1" customHeight="1" x14ac:dyDescent="0.25">
      <c r="N412" s="1"/>
    </row>
    <row r="413" spans="14:14" ht="15.75" hidden="1" customHeight="1" x14ac:dyDescent="0.25">
      <c r="N413" s="1"/>
    </row>
    <row r="414" spans="14:14" ht="15.75" hidden="1" customHeight="1" x14ac:dyDescent="0.25">
      <c r="N414" s="1"/>
    </row>
    <row r="415" spans="14:14" ht="15.75" hidden="1" customHeight="1" x14ac:dyDescent="0.25">
      <c r="N415" s="1"/>
    </row>
    <row r="416" spans="14:14" ht="15.75" hidden="1" customHeight="1" x14ac:dyDescent="0.25">
      <c r="N416" s="1"/>
    </row>
    <row r="417" spans="14:14" ht="15.75" hidden="1" customHeight="1" x14ac:dyDescent="0.25">
      <c r="N417" s="1"/>
    </row>
    <row r="418" spans="14:14" ht="15.75" hidden="1" customHeight="1" x14ac:dyDescent="0.25">
      <c r="N418" s="1"/>
    </row>
    <row r="419" spans="14:14" ht="15.75" hidden="1" customHeight="1" x14ac:dyDescent="0.25">
      <c r="N419" s="1"/>
    </row>
    <row r="420" spans="14:14" ht="15.75" hidden="1" customHeight="1" x14ac:dyDescent="0.25">
      <c r="N420" s="1"/>
    </row>
    <row r="421" spans="14:14" ht="15.75" hidden="1" customHeight="1" x14ac:dyDescent="0.25">
      <c r="N421" s="1"/>
    </row>
    <row r="422" spans="14:14" ht="15.75" hidden="1" customHeight="1" x14ac:dyDescent="0.25">
      <c r="N422" s="1"/>
    </row>
    <row r="423" spans="14:14" ht="15.75" hidden="1" customHeight="1" x14ac:dyDescent="0.25">
      <c r="N423" s="1"/>
    </row>
    <row r="424" spans="14:14" ht="15.75" hidden="1" customHeight="1" x14ac:dyDescent="0.25">
      <c r="N424" s="1"/>
    </row>
    <row r="425" spans="14:14" ht="15.75" hidden="1" customHeight="1" x14ac:dyDescent="0.25">
      <c r="N425" s="1"/>
    </row>
    <row r="426" spans="14:14" ht="15.75" hidden="1" customHeight="1" x14ac:dyDescent="0.25">
      <c r="N426" s="1"/>
    </row>
    <row r="427" spans="14:14" ht="15.75" hidden="1" customHeight="1" x14ac:dyDescent="0.25">
      <c r="N427" s="1"/>
    </row>
    <row r="428" spans="14:14" ht="15.75" hidden="1" customHeight="1" x14ac:dyDescent="0.25">
      <c r="N428" s="1"/>
    </row>
    <row r="429" spans="14:14" ht="15.75" hidden="1" customHeight="1" x14ac:dyDescent="0.25">
      <c r="N429" s="1"/>
    </row>
    <row r="430" spans="14:14" ht="15.75" hidden="1" customHeight="1" x14ac:dyDescent="0.25">
      <c r="N430" s="1"/>
    </row>
    <row r="431" spans="14:14" ht="15.75" hidden="1" customHeight="1" x14ac:dyDescent="0.25">
      <c r="N431" s="1"/>
    </row>
    <row r="432" spans="14:14" ht="15.75" hidden="1" customHeight="1" x14ac:dyDescent="0.25">
      <c r="N432" s="1"/>
    </row>
    <row r="433" spans="14:14" ht="15.75" hidden="1" customHeight="1" x14ac:dyDescent="0.25">
      <c r="N433" s="1"/>
    </row>
    <row r="434" spans="14:14" ht="15.75" hidden="1" customHeight="1" x14ac:dyDescent="0.25">
      <c r="N434" s="1"/>
    </row>
    <row r="435" spans="14:14" ht="15.75" hidden="1" customHeight="1" x14ac:dyDescent="0.25">
      <c r="N435" s="1"/>
    </row>
    <row r="436" spans="14:14" ht="15.75" hidden="1" customHeight="1" x14ac:dyDescent="0.25">
      <c r="N436" s="1"/>
    </row>
    <row r="437" spans="14:14" ht="15.75" hidden="1" customHeight="1" x14ac:dyDescent="0.25">
      <c r="N437" s="1"/>
    </row>
    <row r="438" spans="14:14" ht="15.75" hidden="1" customHeight="1" x14ac:dyDescent="0.25">
      <c r="N438" s="1"/>
    </row>
    <row r="439" spans="14:14" ht="15.75" hidden="1" customHeight="1" x14ac:dyDescent="0.25">
      <c r="N439" s="1"/>
    </row>
    <row r="440" spans="14:14" ht="15.75" hidden="1" customHeight="1" x14ac:dyDescent="0.25">
      <c r="N440" s="1"/>
    </row>
    <row r="441" spans="14:14" ht="15.75" hidden="1" customHeight="1" x14ac:dyDescent="0.25">
      <c r="N441" s="1"/>
    </row>
    <row r="442" spans="14:14" ht="15.75" hidden="1" customHeight="1" x14ac:dyDescent="0.25">
      <c r="N442" s="1"/>
    </row>
    <row r="443" spans="14:14" ht="15.75" hidden="1" customHeight="1" x14ac:dyDescent="0.25">
      <c r="N443" s="1"/>
    </row>
    <row r="444" spans="14:14" ht="15.75" hidden="1" customHeight="1" x14ac:dyDescent="0.25">
      <c r="N444" s="1"/>
    </row>
    <row r="445" spans="14:14" ht="15.75" hidden="1" customHeight="1" x14ac:dyDescent="0.25">
      <c r="N445" s="1"/>
    </row>
    <row r="446" spans="14:14" ht="15.75" hidden="1" customHeight="1" x14ac:dyDescent="0.25">
      <c r="N446" s="1"/>
    </row>
    <row r="447" spans="14:14" ht="15.75" hidden="1" customHeight="1" x14ac:dyDescent="0.25">
      <c r="N447" s="1"/>
    </row>
    <row r="448" spans="14:14" ht="15.75" hidden="1" customHeight="1" x14ac:dyDescent="0.25">
      <c r="N448" s="1"/>
    </row>
    <row r="449" spans="14:14" ht="15.75" hidden="1" customHeight="1" x14ac:dyDescent="0.25">
      <c r="N449" s="1"/>
    </row>
    <row r="450" spans="14:14" ht="15.75" hidden="1" customHeight="1" x14ac:dyDescent="0.25">
      <c r="N450" s="1"/>
    </row>
    <row r="451" spans="14:14" ht="15.75" hidden="1" customHeight="1" x14ac:dyDescent="0.25">
      <c r="N451" s="1"/>
    </row>
    <row r="452" spans="14:14" ht="15.75" hidden="1" customHeight="1" x14ac:dyDescent="0.25">
      <c r="N452" s="1"/>
    </row>
    <row r="453" spans="14:14" ht="15.75" hidden="1" customHeight="1" x14ac:dyDescent="0.25">
      <c r="N453" s="1"/>
    </row>
    <row r="454" spans="14:14" ht="15.75" hidden="1" customHeight="1" x14ac:dyDescent="0.25">
      <c r="N454" s="1"/>
    </row>
    <row r="455" spans="14:14" ht="15.75" hidden="1" customHeight="1" x14ac:dyDescent="0.25">
      <c r="N455" s="1"/>
    </row>
    <row r="456" spans="14:14" ht="15.75" hidden="1" customHeight="1" x14ac:dyDescent="0.25">
      <c r="N456" s="1"/>
    </row>
    <row r="457" spans="14:14" ht="15.75" hidden="1" customHeight="1" x14ac:dyDescent="0.25">
      <c r="N457" s="1"/>
    </row>
    <row r="458" spans="14:14" ht="15.75" hidden="1" customHeight="1" x14ac:dyDescent="0.25">
      <c r="N458" s="1"/>
    </row>
    <row r="459" spans="14:14" ht="15.75" hidden="1" customHeight="1" x14ac:dyDescent="0.25">
      <c r="N459" s="1"/>
    </row>
    <row r="460" spans="14:14" ht="15.75" hidden="1" customHeight="1" x14ac:dyDescent="0.25">
      <c r="N460" s="1"/>
    </row>
    <row r="461" spans="14:14" ht="15.75" hidden="1" customHeight="1" x14ac:dyDescent="0.25">
      <c r="N461" s="1"/>
    </row>
    <row r="462" spans="14:14" ht="15.75" hidden="1" customHeight="1" x14ac:dyDescent="0.25">
      <c r="N462" s="1"/>
    </row>
    <row r="463" spans="14:14" ht="15.75" hidden="1" customHeight="1" x14ac:dyDescent="0.25">
      <c r="N463" s="1"/>
    </row>
    <row r="464" spans="14:14" ht="15.75" hidden="1" customHeight="1" x14ac:dyDescent="0.25">
      <c r="N464" s="1"/>
    </row>
    <row r="465" spans="14:14" ht="15.75" hidden="1" customHeight="1" x14ac:dyDescent="0.25">
      <c r="N465" s="1"/>
    </row>
    <row r="466" spans="14:14" ht="15.75" hidden="1" customHeight="1" x14ac:dyDescent="0.25">
      <c r="N466" s="1"/>
    </row>
    <row r="467" spans="14:14" ht="15.75" hidden="1" customHeight="1" x14ac:dyDescent="0.25">
      <c r="N467" s="1"/>
    </row>
    <row r="468" spans="14:14" ht="15.75" hidden="1" customHeight="1" x14ac:dyDescent="0.25">
      <c r="N468" s="1"/>
    </row>
    <row r="469" spans="14:14" ht="15.75" hidden="1" customHeight="1" x14ac:dyDescent="0.25">
      <c r="N469" s="1"/>
    </row>
    <row r="470" spans="14:14" ht="15.75" hidden="1" customHeight="1" x14ac:dyDescent="0.25">
      <c r="N470" s="1"/>
    </row>
    <row r="471" spans="14:14" ht="15.75" hidden="1" customHeight="1" x14ac:dyDescent="0.25">
      <c r="N471" s="1"/>
    </row>
    <row r="472" spans="14:14" ht="15.75" hidden="1" customHeight="1" x14ac:dyDescent="0.25">
      <c r="N472" s="1"/>
    </row>
    <row r="473" spans="14:14" ht="15.75" hidden="1" customHeight="1" x14ac:dyDescent="0.25">
      <c r="N473" s="1"/>
    </row>
    <row r="474" spans="14:14" ht="15.75" hidden="1" customHeight="1" x14ac:dyDescent="0.25">
      <c r="N474" s="1"/>
    </row>
    <row r="475" spans="14:14" ht="15.75" hidden="1" customHeight="1" x14ac:dyDescent="0.25">
      <c r="N475" s="1"/>
    </row>
    <row r="476" spans="14:14" ht="15.75" hidden="1" customHeight="1" x14ac:dyDescent="0.25">
      <c r="N476" s="1"/>
    </row>
    <row r="477" spans="14:14" ht="15.75" hidden="1" customHeight="1" x14ac:dyDescent="0.25">
      <c r="N477" s="1"/>
    </row>
    <row r="478" spans="14:14" ht="15.75" hidden="1" customHeight="1" x14ac:dyDescent="0.25">
      <c r="N478" s="1"/>
    </row>
    <row r="479" spans="14:14" ht="15.75" hidden="1" customHeight="1" x14ac:dyDescent="0.25">
      <c r="N479" s="1"/>
    </row>
    <row r="480" spans="14:14" ht="15.75" hidden="1" customHeight="1" x14ac:dyDescent="0.25">
      <c r="N480" s="1"/>
    </row>
    <row r="481" spans="14:14" ht="15.75" hidden="1" customHeight="1" x14ac:dyDescent="0.25">
      <c r="N481" s="1"/>
    </row>
    <row r="482" spans="14:14" ht="15.75" hidden="1" customHeight="1" x14ac:dyDescent="0.25">
      <c r="N482" s="1"/>
    </row>
    <row r="483" spans="14:14" ht="15.75" hidden="1" customHeight="1" x14ac:dyDescent="0.25">
      <c r="N483" s="1"/>
    </row>
    <row r="484" spans="14:14" ht="15.75" hidden="1" customHeight="1" x14ac:dyDescent="0.25">
      <c r="N484" s="1"/>
    </row>
    <row r="485" spans="14:14" ht="15.75" hidden="1" customHeight="1" x14ac:dyDescent="0.25">
      <c r="N485" s="1"/>
    </row>
    <row r="486" spans="14:14" ht="15.75" hidden="1" customHeight="1" x14ac:dyDescent="0.25">
      <c r="N486" s="1"/>
    </row>
    <row r="487" spans="14:14" ht="15.75" hidden="1" customHeight="1" x14ac:dyDescent="0.25">
      <c r="N487" s="1"/>
    </row>
    <row r="488" spans="14:14" ht="15.75" hidden="1" customHeight="1" x14ac:dyDescent="0.25">
      <c r="N488" s="1"/>
    </row>
    <row r="489" spans="14:14" ht="15.75" hidden="1" customHeight="1" x14ac:dyDescent="0.25">
      <c r="N489" s="1"/>
    </row>
    <row r="490" spans="14:14" ht="15.75" hidden="1" customHeight="1" x14ac:dyDescent="0.25">
      <c r="N490" s="1"/>
    </row>
    <row r="491" spans="14:14" ht="15.75" hidden="1" customHeight="1" x14ac:dyDescent="0.25">
      <c r="N491" s="1"/>
    </row>
    <row r="492" spans="14:14" ht="15.75" hidden="1" customHeight="1" x14ac:dyDescent="0.25">
      <c r="N492" s="1"/>
    </row>
    <row r="493" spans="14:14" ht="15.75" hidden="1" customHeight="1" x14ac:dyDescent="0.25">
      <c r="N493" s="1"/>
    </row>
    <row r="494" spans="14:14" ht="15.75" hidden="1" customHeight="1" x14ac:dyDescent="0.25">
      <c r="N494" s="1"/>
    </row>
    <row r="495" spans="14:14" ht="15.75" hidden="1" customHeight="1" x14ac:dyDescent="0.25">
      <c r="N495" s="1"/>
    </row>
    <row r="496" spans="14:14" ht="15.75" hidden="1" customHeight="1" x14ac:dyDescent="0.25">
      <c r="N496" s="1"/>
    </row>
    <row r="497" spans="14:14" ht="15.75" hidden="1" customHeight="1" x14ac:dyDescent="0.25">
      <c r="N497" s="1"/>
    </row>
    <row r="498" spans="14:14" ht="15.75" hidden="1" customHeight="1" x14ac:dyDescent="0.25">
      <c r="N498" s="1"/>
    </row>
    <row r="499" spans="14:14" ht="15.75" hidden="1" customHeight="1" x14ac:dyDescent="0.25">
      <c r="N499" s="1"/>
    </row>
    <row r="500" spans="14:14" ht="15.75" hidden="1" customHeight="1" x14ac:dyDescent="0.25">
      <c r="N500" s="1"/>
    </row>
    <row r="501" spans="14:14" ht="15.75" hidden="1" customHeight="1" x14ac:dyDescent="0.25">
      <c r="N501" s="1"/>
    </row>
    <row r="502" spans="14:14" ht="15.75" hidden="1" customHeight="1" x14ac:dyDescent="0.25">
      <c r="N502" s="1"/>
    </row>
    <row r="503" spans="14:14" ht="15.75" hidden="1" customHeight="1" x14ac:dyDescent="0.25">
      <c r="N503" s="1"/>
    </row>
    <row r="504" spans="14:14" ht="15.75" hidden="1" customHeight="1" x14ac:dyDescent="0.25">
      <c r="N504" s="1"/>
    </row>
    <row r="505" spans="14:14" ht="15.75" hidden="1" customHeight="1" x14ac:dyDescent="0.25">
      <c r="N505" s="1"/>
    </row>
    <row r="506" spans="14:14" ht="15.75" hidden="1" customHeight="1" x14ac:dyDescent="0.25">
      <c r="N506" s="1"/>
    </row>
    <row r="507" spans="14:14" ht="15.75" hidden="1" customHeight="1" x14ac:dyDescent="0.25">
      <c r="N507" s="1"/>
    </row>
    <row r="508" spans="14:14" ht="15.75" hidden="1" customHeight="1" x14ac:dyDescent="0.25">
      <c r="N508" s="1"/>
    </row>
    <row r="509" spans="14:14" ht="15.75" hidden="1" customHeight="1" x14ac:dyDescent="0.25">
      <c r="N509" s="1"/>
    </row>
    <row r="510" spans="14:14" ht="15.75" hidden="1" customHeight="1" x14ac:dyDescent="0.25">
      <c r="N510" s="1"/>
    </row>
    <row r="511" spans="14:14" ht="15.75" hidden="1" customHeight="1" x14ac:dyDescent="0.25">
      <c r="N511" s="1"/>
    </row>
    <row r="512" spans="14:14" ht="15.75" hidden="1" customHeight="1" x14ac:dyDescent="0.25">
      <c r="N512" s="1"/>
    </row>
    <row r="513" spans="14:14" ht="15.75" hidden="1" customHeight="1" x14ac:dyDescent="0.25">
      <c r="N513" s="1"/>
    </row>
    <row r="514" spans="14:14" ht="15.75" hidden="1" customHeight="1" x14ac:dyDescent="0.25">
      <c r="N514" s="1"/>
    </row>
    <row r="515" spans="14:14" ht="15.75" hidden="1" customHeight="1" x14ac:dyDescent="0.25">
      <c r="N515" s="1"/>
    </row>
    <row r="516" spans="14:14" ht="15.75" hidden="1" customHeight="1" x14ac:dyDescent="0.25">
      <c r="N516" s="1"/>
    </row>
    <row r="517" spans="14:14" ht="15.75" hidden="1" customHeight="1" x14ac:dyDescent="0.25">
      <c r="N517" s="1"/>
    </row>
    <row r="518" spans="14:14" ht="15.75" hidden="1" customHeight="1" x14ac:dyDescent="0.25">
      <c r="N518" s="1"/>
    </row>
    <row r="519" spans="14:14" ht="15.75" hidden="1" customHeight="1" x14ac:dyDescent="0.25">
      <c r="N519" s="1"/>
    </row>
    <row r="520" spans="14:14" ht="15.75" hidden="1" customHeight="1" x14ac:dyDescent="0.25">
      <c r="N520" s="1"/>
    </row>
    <row r="521" spans="14:14" ht="15.75" hidden="1" customHeight="1" x14ac:dyDescent="0.25">
      <c r="N521" s="1"/>
    </row>
    <row r="522" spans="14:14" ht="15.75" hidden="1" customHeight="1" x14ac:dyDescent="0.25">
      <c r="N522" s="1"/>
    </row>
    <row r="523" spans="14:14" ht="15.75" hidden="1" customHeight="1" x14ac:dyDescent="0.25">
      <c r="N523" s="1"/>
    </row>
    <row r="524" spans="14:14" ht="15.75" hidden="1" customHeight="1" x14ac:dyDescent="0.25">
      <c r="N524" s="1"/>
    </row>
    <row r="525" spans="14:14" ht="15.75" hidden="1" customHeight="1" x14ac:dyDescent="0.25">
      <c r="N525" s="1"/>
    </row>
    <row r="526" spans="14:14" ht="15.75" hidden="1" customHeight="1" x14ac:dyDescent="0.25">
      <c r="N526" s="1"/>
    </row>
    <row r="527" spans="14:14" ht="15.75" hidden="1" customHeight="1" x14ac:dyDescent="0.25">
      <c r="N527" s="1"/>
    </row>
    <row r="528" spans="14:14" ht="15.75" hidden="1" customHeight="1" x14ac:dyDescent="0.25">
      <c r="N528" s="1"/>
    </row>
    <row r="529" spans="14:14" ht="15.75" hidden="1" customHeight="1" x14ac:dyDescent="0.25">
      <c r="N529" s="1"/>
    </row>
    <row r="530" spans="14:14" ht="15.75" hidden="1" customHeight="1" x14ac:dyDescent="0.25">
      <c r="N530" s="1"/>
    </row>
    <row r="531" spans="14:14" ht="15.75" hidden="1" customHeight="1" x14ac:dyDescent="0.25">
      <c r="N531" s="1"/>
    </row>
    <row r="532" spans="14:14" ht="15.75" hidden="1" customHeight="1" x14ac:dyDescent="0.25">
      <c r="N532" s="1"/>
    </row>
    <row r="533" spans="14:14" ht="15.75" hidden="1" customHeight="1" x14ac:dyDescent="0.25">
      <c r="N533" s="1"/>
    </row>
    <row r="534" spans="14:14" ht="15.75" hidden="1" customHeight="1" x14ac:dyDescent="0.25">
      <c r="N534" s="1"/>
    </row>
    <row r="535" spans="14:14" ht="15.75" hidden="1" customHeight="1" x14ac:dyDescent="0.25">
      <c r="N535" s="1"/>
    </row>
    <row r="536" spans="14:14" ht="15.75" hidden="1" customHeight="1" x14ac:dyDescent="0.25">
      <c r="N536" s="1"/>
    </row>
    <row r="537" spans="14:14" ht="15.75" hidden="1" customHeight="1" x14ac:dyDescent="0.25">
      <c r="N537" s="1"/>
    </row>
    <row r="538" spans="14:14" ht="15.75" hidden="1" customHeight="1" x14ac:dyDescent="0.25">
      <c r="N538" s="1"/>
    </row>
    <row r="539" spans="14:14" ht="15.75" hidden="1" customHeight="1" x14ac:dyDescent="0.25">
      <c r="N539" s="1"/>
    </row>
    <row r="540" spans="14:14" ht="15.75" hidden="1" customHeight="1" x14ac:dyDescent="0.25">
      <c r="N540" s="1"/>
    </row>
    <row r="541" spans="14:14" ht="15.75" hidden="1" customHeight="1" x14ac:dyDescent="0.25">
      <c r="N541" s="1"/>
    </row>
    <row r="542" spans="14:14" ht="15.75" hidden="1" customHeight="1" x14ac:dyDescent="0.25">
      <c r="N542" s="1"/>
    </row>
    <row r="543" spans="14:14" ht="15.75" hidden="1" customHeight="1" x14ac:dyDescent="0.25">
      <c r="N543" s="1"/>
    </row>
    <row r="544" spans="14:14" ht="15.75" hidden="1" customHeight="1" x14ac:dyDescent="0.25">
      <c r="N544" s="1"/>
    </row>
    <row r="545" spans="14:14" ht="15.75" hidden="1" customHeight="1" x14ac:dyDescent="0.25">
      <c r="N545" s="1"/>
    </row>
    <row r="546" spans="14:14" ht="15.75" hidden="1" customHeight="1" x14ac:dyDescent="0.25">
      <c r="N546" s="1"/>
    </row>
    <row r="547" spans="14:14" ht="15.75" hidden="1" customHeight="1" x14ac:dyDescent="0.25">
      <c r="N547" s="1"/>
    </row>
    <row r="548" spans="14:14" ht="15.75" hidden="1" customHeight="1" x14ac:dyDescent="0.25">
      <c r="N548" s="1"/>
    </row>
    <row r="549" spans="14:14" ht="15.75" hidden="1" customHeight="1" x14ac:dyDescent="0.25">
      <c r="N549" s="1"/>
    </row>
    <row r="550" spans="14:14" ht="15.75" hidden="1" customHeight="1" x14ac:dyDescent="0.25">
      <c r="N550" s="1"/>
    </row>
    <row r="551" spans="14:14" ht="15.75" hidden="1" customHeight="1" x14ac:dyDescent="0.25">
      <c r="N551" s="1"/>
    </row>
    <row r="552" spans="14:14" ht="15.75" hidden="1" customHeight="1" x14ac:dyDescent="0.25">
      <c r="N552" s="1"/>
    </row>
    <row r="553" spans="14:14" ht="15.75" hidden="1" customHeight="1" x14ac:dyDescent="0.25">
      <c r="N553" s="1"/>
    </row>
    <row r="554" spans="14:14" ht="15.75" hidden="1" customHeight="1" x14ac:dyDescent="0.25">
      <c r="N554" s="1"/>
    </row>
    <row r="555" spans="14:14" ht="15.75" hidden="1" customHeight="1" x14ac:dyDescent="0.25">
      <c r="N555" s="1"/>
    </row>
    <row r="556" spans="14:14" ht="15.75" hidden="1" customHeight="1" x14ac:dyDescent="0.25">
      <c r="N556" s="1"/>
    </row>
    <row r="557" spans="14:14" ht="15.75" hidden="1" customHeight="1" x14ac:dyDescent="0.25">
      <c r="N557" s="1"/>
    </row>
    <row r="558" spans="14:14" ht="15.75" hidden="1" customHeight="1" x14ac:dyDescent="0.25">
      <c r="N558" s="1"/>
    </row>
    <row r="559" spans="14:14" ht="15.75" hidden="1" customHeight="1" x14ac:dyDescent="0.25">
      <c r="N559" s="1"/>
    </row>
    <row r="560" spans="14:14" ht="15.75" hidden="1" customHeight="1" x14ac:dyDescent="0.25">
      <c r="N560" s="1"/>
    </row>
    <row r="561" spans="14:14" ht="15.75" hidden="1" customHeight="1" x14ac:dyDescent="0.25">
      <c r="N561" s="1"/>
    </row>
    <row r="562" spans="14:14" ht="15.75" hidden="1" customHeight="1" x14ac:dyDescent="0.25">
      <c r="N562" s="1"/>
    </row>
    <row r="563" spans="14:14" ht="15.75" hidden="1" customHeight="1" x14ac:dyDescent="0.25">
      <c r="N563" s="1"/>
    </row>
    <row r="564" spans="14:14" ht="15.75" hidden="1" customHeight="1" x14ac:dyDescent="0.25">
      <c r="N564" s="1"/>
    </row>
    <row r="565" spans="14:14" ht="15.75" hidden="1" customHeight="1" x14ac:dyDescent="0.25">
      <c r="N565" s="1"/>
    </row>
    <row r="566" spans="14:14" ht="15.75" hidden="1" customHeight="1" x14ac:dyDescent="0.25">
      <c r="N566" s="1"/>
    </row>
    <row r="567" spans="14:14" ht="15.75" hidden="1" customHeight="1" x14ac:dyDescent="0.25">
      <c r="N567" s="1"/>
    </row>
    <row r="568" spans="14:14" ht="15.75" hidden="1" customHeight="1" x14ac:dyDescent="0.25">
      <c r="N568" s="1"/>
    </row>
    <row r="569" spans="14:14" ht="15.75" hidden="1" customHeight="1" x14ac:dyDescent="0.25">
      <c r="N569" s="1"/>
    </row>
    <row r="570" spans="14:14" ht="15.75" hidden="1" customHeight="1" x14ac:dyDescent="0.25">
      <c r="N570" s="1"/>
    </row>
    <row r="571" spans="14:14" ht="15.75" hidden="1" customHeight="1" x14ac:dyDescent="0.25">
      <c r="N571" s="1"/>
    </row>
    <row r="572" spans="14:14" ht="15.75" hidden="1" customHeight="1" x14ac:dyDescent="0.25">
      <c r="N572" s="1"/>
    </row>
    <row r="573" spans="14:14" ht="15.75" hidden="1" customHeight="1" x14ac:dyDescent="0.25">
      <c r="N573" s="1"/>
    </row>
    <row r="574" spans="14:14" ht="15.75" hidden="1" customHeight="1" x14ac:dyDescent="0.25">
      <c r="N574" s="1"/>
    </row>
    <row r="575" spans="14:14" ht="15.75" hidden="1" customHeight="1" x14ac:dyDescent="0.25">
      <c r="N575" s="1"/>
    </row>
    <row r="576" spans="14:14" ht="15.75" hidden="1" customHeight="1" x14ac:dyDescent="0.25">
      <c r="N576" s="1"/>
    </row>
    <row r="577" spans="14:14" ht="15.75" hidden="1" customHeight="1" x14ac:dyDescent="0.25">
      <c r="N577" s="1"/>
    </row>
    <row r="578" spans="14:14" ht="15.75" hidden="1" customHeight="1" x14ac:dyDescent="0.25">
      <c r="N578" s="1"/>
    </row>
    <row r="579" spans="14:14" ht="15.75" hidden="1" customHeight="1" x14ac:dyDescent="0.25">
      <c r="N579" s="1"/>
    </row>
    <row r="580" spans="14:14" ht="15.75" hidden="1" customHeight="1" x14ac:dyDescent="0.25">
      <c r="N580" s="1"/>
    </row>
    <row r="581" spans="14:14" ht="15.75" hidden="1" customHeight="1" x14ac:dyDescent="0.25">
      <c r="N581" s="1"/>
    </row>
    <row r="582" spans="14:14" ht="15.75" hidden="1" customHeight="1" x14ac:dyDescent="0.25">
      <c r="N582" s="1"/>
    </row>
    <row r="583" spans="14:14" ht="15.75" hidden="1" customHeight="1" x14ac:dyDescent="0.25">
      <c r="N583" s="1"/>
    </row>
    <row r="584" spans="14:14" ht="15.75" hidden="1" customHeight="1" x14ac:dyDescent="0.25">
      <c r="N584" s="1"/>
    </row>
    <row r="585" spans="14:14" ht="15.75" hidden="1" customHeight="1" x14ac:dyDescent="0.25">
      <c r="N585" s="1"/>
    </row>
    <row r="586" spans="14:14" ht="15.75" hidden="1" customHeight="1" x14ac:dyDescent="0.25">
      <c r="N586" s="1"/>
    </row>
    <row r="587" spans="14:14" ht="15.75" hidden="1" customHeight="1" x14ac:dyDescent="0.25">
      <c r="N587" s="1"/>
    </row>
    <row r="588" spans="14:14" ht="15.75" hidden="1" customHeight="1" x14ac:dyDescent="0.25">
      <c r="N588" s="1"/>
    </row>
    <row r="589" spans="14:14" ht="15.75" hidden="1" customHeight="1" x14ac:dyDescent="0.25">
      <c r="N589" s="1"/>
    </row>
    <row r="590" spans="14:14" ht="15.75" hidden="1" customHeight="1" x14ac:dyDescent="0.25">
      <c r="N590" s="1"/>
    </row>
    <row r="591" spans="14:14" ht="15.75" hidden="1" customHeight="1" x14ac:dyDescent="0.25">
      <c r="N591" s="1"/>
    </row>
    <row r="592" spans="14:14" ht="15.75" hidden="1" customHeight="1" x14ac:dyDescent="0.25">
      <c r="N592" s="1"/>
    </row>
    <row r="593" spans="14:14" ht="15.75" hidden="1" customHeight="1" x14ac:dyDescent="0.25">
      <c r="N593" s="1"/>
    </row>
    <row r="594" spans="14:14" ht="15.75" hidden="1" customHeight="1" x14ac:dyDescent="0.25">
      <c r="N594" s="1"/>
    </row>
    <row r="595" spans="14:14" ht="15.75" hidden="1" customHeight="1" x14ac:dyDescent="0.25">
      <c r="N595" s="1"/>
    </row>
    <row r="596" spans="14:14" ht="15.75" hidden="1" customHeight="1" x14ac:dyDescent="0.25">
      <c r="N596" s="1"/>
    </row>
    <row r="597" spans="14:14" ht="15.75" hidden="1" customHeight="1" x14ac:dyDescent="0.25">
      <c r="N597" s="1"/>
    </row>
    <row r="598" spans="14:14" ht="15.75" hidden="1" customHeight="1" x14ac:dyDescent="0.25">
      <c r="N598" s="1"/>
    </row>
    <row r="599" spans="14:14" ht="15.75" hidden="1" customHeight="1" x14ac:dyDescent="0.25">
      <c r="N599" s="1"/>
    </row>
    <row r="600" spans="14:14" ht="15.75" hidden="1" customHeight="1" x14ac:dyDescent="0.25">
      <c r="N600" s="1"/>
    </row>
    <row r="601" spans="14:14" ht="15.75" hidden="1" customHeight="1" x14ac:dyDescent="0.25">
      <c r="N601" s="1"/>
    </row>
    <row r="602" spans="14:14" ht="15.75" hidden="1" customHeight="1" x14ac:dyDescent="0.25">
      <c r="N602" s="1"/>
    </row>
    <row r="603" spans="14:14" ht="15.75" hidden="1" customHeight="1" x14ac:dyDescent="0.25">
      <c r="N603" s="1"/>
    </row>
    <row r="604" spans="14:14" ht="15.75" hidden="1" customHeight="1" x14ac:dyDescent="0.25">
      <c r="N604" s="1"/>
    </row>
    <row r="605" spans="14:14" ht="15.75" hidden="1" customHeight="1" x14ac:dyDescent="0.25">
      <c r="N605" s="1"/>
    </row>
    <row r="606" spans="14:14" ht="15.75" hidden="1" customHeight="1" x14ac:dyDescent="0.25">
      <c r="N606" s="1"/>
    </row>
    <row r="607" spans="14:14" ht="15.75" hidden="1" customHeight="1" x14ac:dyDescent="0.25">
      <c r="N607" s="1"/>
    </row>
    <row r="608" spans="14:14" ht="15.75" hidden="1" customHeight="1" x14ac:dyDescent="0.25">
      <c r="N608" s="1"/>
    </row>
    <row r="609" spans="14:14" ht="15.75" hidden="1" customHeight="1" x14ac:dyDescent="0.25">
      <c r="N609" s="1"/>
    </row>
    <row r="610" spans="14:14" ht="15.75" hidden="1" customHeight="1" x14ac:dyDescent="0.25">
      <c r="N610" s="1"/>
    </row>
    <row r="611" spans="14:14" ht="15.75" hidden="1" customHeight="1" x14ac:dyDescent="0.25">
      <c r="N611" s="1"/>
    </row>
    <row r="612" spans="14:14" ht="15.75" hidden="1" customHeight="1" x14ac:dyDescent="0.25">
      <c r="N612" s="1"/>
    </row>
    <row r="613" spans="14:14" ht="15.75" hidden="1" customHeight="1" x14ac:dyDescent="0.25">
      <c r="N613" s="1"/>
    </row>
    <row r="614" spans="14:14" ht="15.75" hidden="1" customHeight="1" x14ac:dyDescent="0.25">
      <c r="N614" s="1"/>
    </row>
    <row r="615" spans="14:14" ht="15.75" hidden="1" customHeight="1" x14ac:dyDescent="0.25">
      <c r="N615" s="1"/>
    </row>
    <row r="616" spans="14:14" ht="15.75" hidden="1" customHeight="1" x14ac:dyDescent="0.25">
      <c r="N616" s="1"/>
    </row>
    <row r="617" spans="14:14" ht="15.75" hidden="1" customHeight="1" x14ac:dyDescent="0.25">
      <c r="N617" s="1"/>
    </row>
    <row r="618" spans="14:14" ht="15.75" hidden="1" customHeight="1" x14ac:dyDescent="0.25">
      <c r="N618" s="1"/>
    </row>
    <row r="619" spans="14:14" ht="15.75" hidden="1" customHeight="1" x14ac:dyDescent="0.25">
      <c r="N619" s="1"/>
    </row>
    <row r="620" spans="14:14" ht="15.75" hidden="1" customHeight="1" x14ac:dyDescent="0.25">
      <c r="N620" s="1"/>
    </row>
    <row r="621" spans="14:14" ht="15.75" hidden="1" customHeight="1" x14ac:dyDescent="0.25">
      <c r="N621" s="1"/>
    </row>
    <row r="622" spans="14:14" ht="15.75" hidden="1" customHeight="1" x14ac:dyDescent="0.25">
      <c r="N622" s="1"/>
    </row>
    <row r="623" spans="14:14" ht="15.75" hidden="1" customHeight="1" x14ac:dyDescent="0.25">
      <c r="N623" s="1"/>
    </row>
    <row r="624" spans="14:14" ht="15.75" hidden="1" customHeight="1" x14ac:dyDescent="0.25">
      <c r="N624" s="1"/>
    </row>
    <row r="625" spans="14:14" ht="15.75" hidden="1" customHeight="1" x14ac:dyDescent="0.25">
      <c r="N625" s="1"/>
    </row>
    <row r="626" spans="14:14" ht="15.75" hidden="1" customHeight="1" x14ac:dyDescent="0.25">
      <c r="N626" s="1"/>
    </row>
    <row r="627" spans="14:14" ht="15.75" hidden="1" customHeight="1" x14ac:dyDescent="0.25">
      <c r="N627" s="1"/>
    </row>
    <row r="628" spans="14:14" ht="15.75" hidden="1" customHeight="1" x14ac:dyDescent="0.25">
      <c r="N628" s="1"/>
    </row>
    <row r="629" spans="14:14" ht="15.75" hidden="1" customHeight="1" x14ac:dyDescent="0.25">
      <c r="N629" s="1"/>
    </row>
    <row r="630" spans="14:14" ht="15.75" hidden="1" customHeight="1" x14ac:dyDescent="0.25">
      <c r="N630" s="1"/>
    </row>
    <row r="631" spans="14:14" ht="15.75" hidden="1" customHeight="1" x14ac:dyDescent="0.25">
      <c r="N631" s="1"/>
    </row>
    <row r="632" spans="14:14" ht="15.75" hidden="1" customHeight="1" x14ac:dyDescent="0.25">
      <c r="N632" s="1"/>
    </row>
    <row r="633" spans="14:14" ht="15.75" hidden="1" customHeight="1" x14ac:dyDescent="0.25">
      <c r="N633" s="1"/>
    </row>
    <row r="634" spans="14:14" ht="15.75" hidden="1" customHeight="1" x14ac:dyDescent="0.25">
      <c r="N634" s="1"/>
    </row>
    <row r="635" spans="14:14" ht="15.75" hidden="1" customHeight="1" x14ac:dyDescent="0.25">
      <c r="N635" s="1"/>
    </row>
    <row r="636" spans="14:14" ht="15.75" hidden="1" customHeight="1" x14ac:dyDescent="0.25">
      <c r="N636" s="1"/>
    </row>
    <row r="637" spans="14:14" ht="15.75" hidden="1" customHeight="1" x14ac:dyDescent="0.25">
      <c r="N637" s="1"/>
    </row>
    <row r="638" spans="14:14" ht="15.75" hidden="1" customHeight="1" x14ac:dyDescent="0.25">
      <c r="N638" s="1"/>
    </row>
    <row r="639" spans="14:14" ht="15.75" hidden="1" customHeight="1" x14ac:dyDescent="0.25">
      <c r="N639" s="1"/>
    </row>
    <row r="640" spans="14:14" ht="15.75" hidden="1" customHeight="1" x14ac:dyDescent="0.25">
      <c r="N640" s="1"/>
    </row>
    <row r="641" spans="14:14" ht="15.75" hidden="1" customHeight="1" x14ac:dyDescent="0.25">
      <c r="N641" s="1"/>
    </row>
    <row r="642" spans="14:14" ht="15.75" hidden="1" customHeight="1" x14ac:dyDescent="0.25">
      <c r="N642" s="1"/>
    </row>
    <row r="643" spans="14:14" ht="15.75" hidden="1" customHeight="1" x14ac:dyDescent="0.25">
      <c r="N643" s="1"/>
    </row>
    <row r="644" spans="14:14" ht="15.75" hidden="1" customHeight="1" x14ac:dyDescent="0.25">
      <c r="N644" s="1"/>
    </row>
    <row r="645" spans="14:14" ht="15.75" hidden="1" customHeight="1" x14ac:dyDescent="0.25">
      <c r="N645" s="1"/>
    </row>
    <row r="646" spans="14:14" ht="15.75" hidden="1" customHeight="1" x14ac:dyDescent="0.25">
      <c r="N646" s="1"/>
    </row>
    <row r="647" spans="14:14" ht="15.75" hidden="1" customHeight="1" x14ac:dyDescent="0.25">
      <c r="N647" s="1"/>
    </row>
    <row r="648" spans="14:14" ht="15.75" hidden="1" customHeight="1" x14ac:dyDescent="0.25">
      <c r="N648" s="1"/>
    </row>
    <row r="649" spans="14:14" ht="15.75" hidden="1" customHeight="1" x14ac:dyDescent="0.25">
      <c r="N649" s="1"/>
    </row>
    <row r="650" spans="14:14" ht="15.75" hidden="1" customHeight="1" x14ac:dyDescent="0.25">
      <c r="N650" s="1"/>
    </row>
    <row r="651" spans="14:14" ht="15.75" hidden="1" customHeight="1" x14ac:dyDescent="0.25">
      <c r="N651" s="1"/>
    </row>
    <row r="652" spans="14:14" ht="15.75" hidden="1" customHeight="1" x14ac:dyDescent="0.25">
      <c r="N652" s="1"/>
    </row>
    <row r="653" spans="14:14" ht="15.75" hidden="1" customHeight="1" x14ac:dyDescent="0.25">
      <c r="N653" s="1"/>
    </row>
    <row r="654" spans="14:14" ht="15.75" hidden="1" customHeight="1" x14ac:dyDescent="0.25">
      <c r="N654" s="1"/>
    </row>
    <row r="655" spans="14:14" ht="15.75" hidden="1" customHeight="1" x14ac:dyDescent="0.25">
      <c r="N655" s="1"/>
    </row>
    <row r="656" spans="14:14" ht="15.75" hidden="1" customHeight="1" x14ac:dyDescent="0.25">
      <c r="N656" s="1"/>
    </row>
    <row r="657" spans="14:14" ht="15.75" hidden="1" customHeight="1" x14ac:dyDescent="0.25">
      <c r="N657" s="1"/>
    </row>
    <row r="658" spans="14:14" ht="15.75" hidden="1" customHeight="1" x14ac:dyDescent="0.25">
      <c r="N658" s="1"/>
    </row>
    <row r="659" spans="14:14" ht="15.75" hidden="1" customHeight="1" x14ac:dyDescent="0.25">
      <c r="N659" s="1"/>
    </row>
    <row r="660" spans="14:14" ht="15.75" hidden="1" customHeight="1" x14ac:dyDescent="0.25">
      <c r="N660" s="1"/>
    </row>
    <row r="661" spans="14:14" ht="15.75" hidden="1" customHeight="1" x14ac:dyDescent="0.25">
      <c r="N661" s="1"/>
    </row>
    <row r="662" spans="14:14" ht="15.75" hidden="1" customHeight="1" x14ac:dyDescent="0.25">
      <c r="N662" s="1"/>
    </row>
    <row r="663" spans="14:14" ht="15.75" hidden="1" customHeight="1" x14ac:dyDescent="0.25">
      <c r="N663" s="1"/>
    </row>
    <row r="664" spans="14:14" ht="15.75" hidden="1" customHeight="1" x14ac:dyDescent="0.25">
      <c r="N664" s="1"/>
    </row>
    <row r="665" spans="14:14" ht="15.75" hidden="1" customHeight="1" x14ac:dyDescent="0.25">
      <c r="N665" s="1"/>
    </row>
    <row r="666" spans="14:14" ht="15.75" hidden="1" customHeight="1" x14ac:dyDescent="0.25">
      <c r="N666" s="1"/>
    </row>
    <row r="667" spans="14:14" ht="15.75" hidden="1" customHeight="1" x14ac:dyDescent="0.25">
      <c r="N667" s="1"/>
    </row>
    <row r="668" spans="14:14" ht="15.75" hidden="1" customHeight="1" x14ac:dyDescent="0.25">
      <c r="N668" s="1"/>
    </row>
    <row r="669" spans="14:14" ht="15.75" hidden="1" customHeight="1" x14ac:dyDescent="0.25">
      <c r="N669" s="1"/>
    </row>
    <row r="670" spans="14:14" ht="15.75" hidden="1" customHeight="1" x14ac:dyDescent="0.25">
      <c r="N670" s="1"/>
    </row>
    <row r="671" spans="14:14" ht="15.75" hidden="1" customHeight="1" x14ac:dyDescent="0.25">
      <c r="N671" s="1"/>
    </row>
    <row r="672" spans="14:14" ht="15.75" hidden="1" customHeight="1" x14ac:dyDescent="0.25">
      <c r="N672" s="1"/>
    </row>
    <row r="673" spans="14:14" ht="15.75" hidden="1" customHeight="1" x14ac:dyDescent="0.25">
      <c r="N673" s="1"/>
    </row>
    <row r="674" spans="14:14" ht="15.75" hidden="1" customHeight="1" x14ac:dyDescent="0.25">
      <c r="N674" s="1"/>
    </row>
    <row r="675" spans="14:14" ht="15.75" hidden="1" customHeight="1" x14ac:dyDescent="0.25">
      <c r="N675" s="1"/>
    </row>
    <row r="676" spans="14:14" ht="15.75" hidden="1" customHeight="1" x14ac:dyDescent="0.25">
      <c r="N676" s="1"/>
    </row>
    <row r="677" spans="14:14" ht="15.75" hidden="1" customHeight="1" x14ac:dyDescent="0.25">
      <c r="N677" s="1"/>
    </row>
    <row r="678" spans="14:14" ht="15.75" hidden="1" customHeight="1" x14ac:dyDescent="0.25">
      <c r="N678" s="1"/>
    </row>
    <row r="679" spans="14:14" ht="15.75" hidden="1" customHeight="1" x14ac:dyDescent="0.25">
      <c r="N679" s="1"/>
    </row>
    <row r="680" spans="14:14" ht="15.75" hidden="1" customHeight="1" x14ac:dyDescent="0.25">
      <c r="N680" s="1"/>
    </row>
    <row r="681" spans="14:14" ht="15.75" hidden="1" customHeight="1" x14ac:dyDescent="0.25">
      <c r="N681" s="1"/>
    </row>
    <row r="682" spans="14:14" ht="15.75" hidden="1" customHeight="1" x14ac:dyDescent="0.25">
      <c r="N682" s="1"/>
    </row>
    <row r="683" spans="14:14" ht="15.75" hidden="1" customHeight="1" x14ac:dyDescent="0.25">
      <c r="N683" s="1"/>
    </row>
    <row r="684" spans="14:14" ht="15.75" hidden="1" customHeight="1" x14ac:dyDescent="0.25">
      <c r="N684" s="1"/>
    </row>
    <row r="685" spans="14:14" ht="15.75" hidden="1" customHeight="1" x14ac:dyDescent="0.25">
      <c r="N685" s="1"/>
    </row>
    <row r="686" spans="14:14" ht="15.75" hidden="1" customHeight="1" x14ac:dyDescent="0.25">
      <c r="N686" s="1"/>
    </row>
    <row r="687" spans="14:14" ht="15.75" hidden="1" customHeight="1" x14ac:dyDescent="0.25">
      <c r="N687" s="1"/>
    </row>
    <row r="688" spans="14:14" ht="15.75" hidden="1" customHeight="1" x14ac:dyDescent="0.25">
      <c r="N688" s="1"/>
    </row>
    <row r="689" spans="14:14" ht="15.75" hidden="1" customHeight="1" x14ac:dyDescent="0.25">
      <c r="N689" s="1"/>
    </row>
    <row r="690" spans="14:14" ht="15.75" hidden="1" customHeight="1" x14ac:dyDescent="0.25">
      <c r="N690" s="1"/>
    </row>
    <row r="691" spans="14:14" ht="15.75" hidden="1" customHeight="1" x14ac:dyDescent="0.25">
      <c r="N691" s="1"/>
    </row>
    <row r="692" spans="14:14" ht="15.75" hidden="1" customHeight="1" x14ac:dyDescent="0.25">
      <c r="N692" s="1"/>
    </row>
    <row r="693" spans="14:14" ht="15.75" hidden="1" customHeight="1" x14ac:dyDescent="0.25">
      <c r="N693" s="1"/>
    </row>
    <row r="694" spans="14:14" ht="15.75" hidden="1" customHeight="1" x14ac:dyDescent="0.25">
      <c r="N694" s="1"/>
    </row>
    <row r="695" spans="14:14" ht="15.75" hidden="1" customHeight="1" x14ac:dyDescent="0.25">
      <c r="N695" s="1"/>
    </row>
    <row r="696" spans="14:14" ht="15.75" hidden="1" customHeight="1" x14ac:dyDescent="0.25">
      <c r="N696" s="1"/>
    </row>
    <row r="697" spans="14:14" ht="15.75" hidden="1" customHeight="1" x14ac:dyDescent="0.25">
      <c r="N697" s="1"/>
    </row>
    <row r="698" spans="14:14" ht="15.75" hidden="1" customHeight="1" x14ac:dyDescent="0.25">
      <c r="N698" s="1"/>
    </row>
    <row r="699" spans="14:14" ht="15.75" hidden="1" customHeight="1" x14ac:dyDescent="0.25">
      <c r="N699" s="1"/>
    </row>
    <row r="700" spans="14:14" ht="15.75" hidden="1" customHeight="1" x14ac:dyDescent="0.25">
      <c r="N700" s="1"/>
    </row>
    <row r="701" spans="14:14" ht="15.75" hidden="1" customHeight="1" x14ac:dyDescent="0.25">
      <c r="N701" s="1"/>
    </row>
    <row r="702" spans="14:14" ht="15.75" hidden="1" customHeight="1" x14ac:dyDescent="0.25">
      <c r="N702" s="1"/>
    </row>
    <row r="703" spans="14:14" ht="15.75" hidden="1" customHeight="1" x14ac:dyDescent="0.25">
      <c r="N703" s="1"/>
    </row>
    <row r="704" spans="14:14" ht="15.75" hidden="1" customHeight="1" x14ac:dyDescent="0.25">
      <c r="N704" s="1"/>
    </row>
    <row r="705" spans="14:14" ht="15.75" hidden="1" customHeight="1" x14ac:dyDescent="0.25">
      <c r="N705" s="1"/>
    </row>
    <row r="706" spans="14:14" ht="15.75" hidden="1" customHeight="1" x14ac:dyDescent="0.25">
      <c r="N706" s="1"/>
    </row>
    <row r="707" spans="14:14" ht="15.75" hidden="1" customHeight="1" x14ac:dyDescent="0.25">
      <c r="N707" s="1"/>
    </row>
    <row r="708" spans="14:14" ht="15.75" hidden="1" customHeight="1" x14ac:dyDescent="0.25">
      <c r="N708" s="1"/>
    </row>
    <row r="709" spans="14:14" ht="15.75" hidden="1" customHeight="1" x14ac:dyDescent="0.25">
      <c r="N709" s="1"/>
    </row>
    <row r="710" spans="14:14" ht="15.75" hidden="1" customHeight="1" x14ac:dyDescent="0.25">
      <c r="N710" s="1"/>
    </row>
    <row r="711" spans="14:14" ht="15.75" hidden="1" customHeight="1" x14ac:dyDescent="0.25">
      <c r="N711" s="1"/>
    </row>
    <row r="712" spans="14:14" ht="15.75" hidden="1" customHeight="1" x14ac:dyDescent="0.25">
      <c r="N712" s="1"/>
    </row>
    <row r="713" spans="14:14" ht="15.75" hidden="1" customHeight="1" x14ac:dyDescent="0.25">
      <c r="N713" s="1"/>
    </row>
    <row r="714" spans="14:14" ht="15.75" hidden="1" customHeight="1" x14ac:dyDescent="0.25">
      <c r="N714" s="1"/>
    </row>
    <row r="715" spans="14:14" ht="15.75" hidden="1" customHeight="1" x14ac:dyDescent="0.25">
      <c r="N715" s="1"/>
    </row>
    <row r="716" spans="14:14" ht="15.75" hidden="1" customHeight="1" x14ac:dyDescent="0.25">
      <c r="N716" s="1"/>
    </row>
    <row r="717" spans="14:14" ht="15.75" hidden="1" customHeight="1" x14ac:dyDescent="0.25">
      <c r="N717" s="1"/>
    </row>
    <row r="718" spans="14:14" ht="15.75" hidden="1" customHeight="1" x14ac:dyDescent="0.25">
      <c r="N718" s="1"/>
    </row>
    <row r="719" spans="14:14" ht="15.75" hidden="1" customHeight="1" x14ac:dyDescent="0.25">
      <c r="N719" s="1"/>
    </row>
    <row r="720" spans="14:14" ht="15.75" hidden="1" customHeight="1" x14ac:dyDescent="0.25">
      <c r="N720" s="1"/>
    </row>
    <row r="721" spans="14:14" ht="15.75" hidden="1" customHeight="1" x14ac:dyDescent="0.25">
      <c r="N721" s="1"/>
    </row>
    <row r="722" spans="14:14" ht="15.75" hidden="1" customHeight="1" x14ac:dyDescent="0.25">
      <c r="N722" s="1"/>
    </row>
    <row r="723" spans="14:14" ht="15.75" hidden="1" customHeight="1" x14ac:dyDescent="0.25">
      <c r="N723" s="1"/>
    </row>
    <row r="724" spans="14:14" ht="15.75" hidden="1" customHeight="1" x14ac:dyDescent="0.25">
      <c r="N724" s="1"/>
    </row>
    <row r="725" spans="14:14" ht="15.75" hidden="1" customHeight="1" x14ac:dyDescent="0.25">
      <c r="N725" s="1"/>
    </row>
    <row r="726" spans="14:14" ht="15.75" hidden="1" customHeight="1" x14ac:dyDescent="0.25">
      <c r="N726" s="1"/>
    </row>
    <row r="727" spans="14:14" ht="15.75" hidden="1" customHeight="1" x14ac:dyDescent="0.25">
      <c r="N727" s="1"/>
    </row>
    <row r="728" spans="14:14" ht="15.75" hidden="1" customHeight="1" x14ac:dyDescent="0.25">
      <c r="N728" s="1"/>
    </row>
    <row r="729" spans="14:14" ht="15.75" hidden="1" customHeight="1" x14ac:dyDescent="0.25">
      <c r="N729" s="1"/>
    </row>
    <row r="730" spans="14:14" ht="15.75" hidden="1" customHeight="1" x14ac:dyDescent="0.25">
      <c r="N730" s="1"/>
    </row>
    <row r="731" spans="14:14" ht="15.75" hidden="1" customHeight="1" x14ac:dyDescent="0.25">
      <c r="N731" s="1"/>
    </row>
    <row r="732" spans="14:14" ht="15.75" hidden="1" customHeight="1" x14ac:dyDescent="0.25">
      <c r="N732" s="1"/>
    </row>
    <row r="733" spans="14:14" ht="15.75" hidden="1" customHeight="1" x14ac:dyDescent="0.25">
      <c r="N733" s="1"/>
    </row>
    <row r="734" spans="14:14" ht="15.75" hidden="1" customHeight="1" x14ac:dyDescent="0.25">
      <c r="N734" s="1"/>
    </row>
    <row r="735" spans="14:14" ht="15.75" hidden="1" customHeight="1" x14ac:dyDescent="0.25">
      <c r="N735" s="1"/>
    </row>
    <row r="736" spans="14:14" ht="15.75" hidden="1" customHeight="1" x14ac:dyDescent="0.25">
      <c r="N736" s="1"/>
    </row>
    <row r="737" spans="14:14" ht="15.75" hidden="1" customHeight="1" x14ac:dyDescent="0.25">
      <c r="N737" s="1"/>
    </row>
    <row r="738" spans="14:14" ht="15.75" hidden="1" customHeight="1" x14ac:dyDescent="0.25">
      <c r="N738" s="1"/>
    </row>
    <row r="739" spans="14:14" ht="15.75" hidden="1" customHeight="1" x14ac:dyDescent="0.25">
      <c r="N739" s="1"/>
    </row>
    <row r="740" spans="14:14" ht="15.75" hidden="1" customHeight="1" x14ac:dyDescent="0.25">
      <c r="N740" s="1"/>
    </row>
    <row r="741" spans="14:14" ht="15.75" hidden="1" customHeight="1" x14ac:dyDescent="0.25">
      <c r="N741" s="1"/>
    </row>
    <row r="742" spans="14:14" ht="15.75" hidden="1" customHeight="1" x14ac:dyDescent="0.25">
      <c r="N742" s="1"/>
    </row>
    <row r="743" spans="14:14" ht="15.75" hidden="1" customHeight="1" x14ac:dyDescent="0.25">
      <c r="N743" s="1"/>
    </row>
    <row r="744" spans="14:14" ht="15.75" hidden="1" customHeight="1" x14ac:dyDescent="0.25">
      <c r="N744" s="1"/>
    </row>
    <row r="745" spans="14:14" ht="15.75" hidden="1" customHeight="1" x14ac:dyDescent="0.25">
      <c r="N745" s="1"/>
    </row>
    <row r="746" spans="14:14" ht="15.75" hidden="1" customHeight="1" x14ac:dyDescent="0.25">
      <c r="N746" s="1"/>
    </row>
    <row r="747" spans="14:14" ht="15.75" hidden="1" customHeight="1" x14ac:dyDescent="0.25">
      <c r="N747" s="1"/>
    </row>
    <row r="748" spans="14:14" ht="15.75" hidden="1" customHeight="1" x14ac:dyDescent="0.25">
      <c r="N748" s="1"/>
    </row>
    <row r="749" spans="14:14" ht="15.75" hidden="1" customHeight="1" x14ac:dyDescent="0.25">
      <c r="N749" s="1"/>
    </row>
    <row r="750" spans="14:14" ht="15.75" hidden="1" customHeight="1" x14ac:dyDescent="0.25">
      <c r="N750" s="1"/>
    </row>
    <row r="751" spans="14:14" ht="15.75" hidden="1" customHeight="1" x14ac:dyDescent="0.25">
      <c r="N751" s="1"/>
    </row>
    <row r="752" spans="14:14" ht="15.75" hidden="1" customHeight="1" x14ac:dyDescent="0.25">
      <c r="N752" s="1"/>
    </row>
    <row r="753" spans="14:14" ht="15.75" hidden="1" customHeight="1" x14ac:dyDescent="0.25">
      <c r="N753" s="1"/>
    </row>
    <row r="754" spans="14:14" ht="15.75" hidden="1" customHeight="1" x14ac:dyDescent="0.25">
      <c r="N754" s="1"/>
    </row>
    <row r="755" spans="14:14" ht="15.75" hidden="1" customHeight="1" x14ac:dyDescent="0.25">
      <c r="N755" s="1"/>
    </row>
    <row r="756" spans="14:14" ht="15.75" hidden="1" customHeight="1" x14ac:dyDescent="0.25">
      <c r="N756" s="1"/>
    </row>
    <row r="757" spans="14:14" ht="15.75" hidden="1" customHeight="1" x14ac:dyDescent="0.25">
      <c r="N757" s="1"/>
    </row>
    <row r="758" spans="14:14" ht="15.75" hidden="1" customHeight="1" x14ac:dyDescent="0.25">
      <c r="N758" s="1"/>
    </row>
    <row r="759" spans="14:14" ht="15.75" hidden="1" customHeight="1" x14ac:dyDescent="0.25">
      <c r="N759" s="1"/>
    </row>
    <row r="760" spans="14:14" ht="15.75" hidden="1" customHeight="1" x14ac:dyDescent="0.25">
      <c r="N760" s="1"/>
    </row>
    <row r="761" spans="14:14" ht="15.75" hidden="1" customHeight="1" x14ac:dyDescent="0.25">
      <c r="N761" s="1"/>
    </row>
    <row r="762" spans="14:14" ht="15.75" hidden="1" customHeight="1" x14ac:dyDescent="0.25">
      <c r="N762" s="1"/>
    </row>
    <row r="763" spans="14:14" ht="15.75" hidden="1" customHeight="1" x14ac:dyDescent="0.25">
      <c r="N763" s="1"/>
    </row>
    <row r="764" spans="14:14" ht="15.75" hidden="1" customHeight="1" x14ac:dyDescent="0.25">
      <c r="N764" s="1"/>
    </row>
    <row r="765" spans="14:14" ht="15.75" hidden="1" customHeight="1" x14ac:dyDescent="0.25">
      <c r="N765" s="1"/>
    </row>
    <row r="766" spans="14:14" ht="15.75" hidden="1" customHeight="1" x14ac:dyDescent="0.25">
      <c r="N766" s="1"/>
    </row>
    <row r="767" spans="14:14" ht="15.75" hidden="1" customHeight="1" x14ac:dyDescent="0.25">
      <c r="N767" s="1"/>
    </row>
    <row r="768" spans="14:14" ht="15.75" hidden="1" customHeight="1" x14ac:dyDescent="0.25">
      <c r="N768" s="1"/>
    </row>
    <row r="769" spans="14:14" ht="15.75" hidden="1" customHeight="1" x14ac:dyDescent="0.25">
      <c r="N769" s="1"/>
    </row>
    <row r="770" spans="14:14" ht="15.75" hidden="1" customHeight="1" x14ac:dyDescent="0.25">
      <c r="N770" s="1"/>
    </row>
    <row r="771" spans="14:14" ht="15.75" hidden="1" customHeight="1" x14ac:dyDescent="0.25">
      <c r="N771" s="1"/>
    </row>
    <row r="772" spans="14:14" ht="15.75" hidden="1" customHeight="1" x14ac:dyDescent="0.25">
      <c r="N772" s="1"/>
    </row>
    <row r="773" spans="14:14" ht="15.75" hidden="1" customHeight="1" x14ac:dyDescent="0.25">
      <c r="N773" s="1"/>
    </row>
    <row r="774" spans="14:14" ht="15.75" hidden="1" customHeight="1" x14ac:dyDescent="0.25">
      <c r="N774" s="1"/>
    </row>
    <row r="775" spans="14:14" ht="15.75" hidden="1" customHeight="1" x14ac:dyDescent="0.25">
      <c r="N775" s="1"/>
    </row>
    <row r="776" spans="14:14" ht="15.75" hidden="1" customHeight="1" x14ac:dyDescent="0.25">
      <c r="N776" s="1"/>
    </row>
    <row r="777" spans="14:14" ht="15.75" hidden="1" customHeight="1" x14ac:dyDescent="0.25">
      <c r="N777" s="1"/>
    </row>
    <row r="778" spans="14:14" ht="15.75" hidden="1" customHeight="1" x14ac:dyDescent="0.25">
      <c r="N778" s="1"/>
    </row>
    <row r="779" spans="14:14" ht="15.75" hidden="1" customHeight="1" x14ac:dyDescent="0.25">
      <c r="N779" s="1"/>
    </row>
    <row r="780" spans="14:14" ht="15.75" hidden="1" customHeight="1" x14ac:dyDescent="0.25">
      <c r="N780" s="1"/>
    </row>
    <row r="781" spans="14:14" ht="15.75" hidden="1" customHeight="1" x14ac:dyDescent="0.25">
      <c r="N781" s="1"/>
    </row>
    <row r="782" spans="14:14" ht="15.75" hidden="1" customHeight="1" x14ac:dyDescent="0.25">
      <c r="N782" s="1"/>
    </row>
    <row r="783" spans="14:14" ht="15.75" hidden="1" customHeight="1" x14ac:dyDescent="0.25">
      <c r="N783" s="1"/>
    </row>
    <row r="784" spans="14:14" ht="15.75" hidden="1" customHeight="1" x14ac:dyDescent="0.25">
      <c r="N784" s="1"/>
    </row>
    <row r="785" spans="14:14" ht="15.75" hidden="1" customHeight="1" x14ac:dyDescent="0.25">
      <c r="N785" s="1"/>
    </row>
    <row r="786" spans="14:14" ht="15.75" hidden="1" customHeight="1" x14ac:dyDescent="0.25">
      <c r="N786" s="1"/>
    </row>
    <row r="787" spans="14:14" ht="15.75" hidden="1" customHeight="1" x14ac:dyDescent="0.25">
      <c r="N787" s="1"/>
    </row>
    <row r="788" spans="14:14" ht="15.75" hidden="1" customHeight="1" x14ac:dyDescent="0.25">
      <c r="N788" s="1"/>
    </row>
    <row r="789" spans="14:14" ht="15.75" hidden="1" customHeight="1" x14ac:dyDescent="0.25">
      <c r="N789" s="1"/>
    </row>
    <row r="790" spans="14:14" ht="15.75" hidden="1" customHeight="1" x14ac:dyDescent="0.25">
      <c r="N790" s="1"/>
    </row>
    <row r="791" spans="14:14" ht="15.75" hidden="1" customHeight="1" x14ac:dyDescent="0.25">
      <c r="N791" s="1"/>
    </row>
    <row r="792" spans="14:14" ht="15.75" hidden="1" customHeight="1" x14ac:dyDescent="0.25">
      <c r="N792" s="1"/>
    </row>
    <row r="793" spans="14:14" ht="15.75" hidden="1" customHeight="1" x14ac:dyDescent="0.25">
      <c r="N793" s="1"/>
    </row>
    <row r="794" spans="14:14" ht="15.75" hidden="1" customHeight="1" x14ac:dyDescent="0.25">
      <c r="N794" s="1"/>
    </row>
    <row r="795" spans="14:14" ht="15.75" hidden="1" customHeight="1" x14ac:dyDescent="0.25">
      <c r="N795" s="1"/>
    </row>
    <row r="796" spans="14:14" ht="15.75" hidden="1" customHeight="1" x14ac:dyDescent="0.25">
      <c r="N796" s="1"/>
    </row>
    <row r="797" spans="14:14" ht="15.75" hidden="1" customHeight="1" x14ac:dyDescent="0.25">
      <c r="N797" s="1"/>
    </row>
    <row r="798" spans="14:14" ht="15.75" hidden="1" customHeight="1" x14ac:dyDescent="0.25">
      <c r="N798" s="1"/>
    </row>
    <row r="799" spans="14:14" ht="15.75" hidden="1" customHeight="1" x14ac:dyDescent="0.25">
      <c r="N799" s="1"/>
    </row>
    <row r="800" spans="14:14" ht="15.75" hidden="1" customHeight="1" x14ac:dyDescent="0.25">
      <c r="N800" s="1"/>
    </row>
    <row r="801" spans="14:14" ht="15.75" hidden="1" customHeight="1" x14ac:dyDescent="0.25">
      <c r="N801" s="1"/>
    </row>
    <row r="802" spans="14:14" ht="15.75" hidden="1" customHeight="1" x14ac:dyDescent="0.25">
      <c r="N802" s="1"/>
    </row>
    <row r="803" spans="14:14" ht="15.75" hidden="1" customHeight="1" x14ac:dyDescent="0.25">
      <c r="N803" s="1"/>
    </row>
    <row r="804" spans="14:14" ht="15.75" hidden="1" customHeight="1" x14ac:dyDescent="0.25">
      <c r="N804" s="1"/>
    </row>
    <row r="805" spans="14:14" ht="15.75" hidden="1" customHeight="1" x14ac:dyDescent="0.25">
      <c r="N805" s="1"/>
    </row>
    <row r="806" spans="14:14" ht="15.75" hidden="1" customHeight="1" x14ac:dyDescent="0.25">
      <c r="N806" s="1"/>
    </row>
    <row r="807" spans="14:14" ht="15.75" hidden="1" customHeight="1" x14ac:dyDescent="0.25">
      <c r="N807" s="1"/>
    </row>
    <row r="808" spans="14:14" ht="15.75" hidden="1" customHeight="1" x14ac:dyDescent="0.25">
      <c r="N808" s="1"/>
    </row>
    <row r="809" spans="14:14" ht="15.75" hidden="1" customHeight="1" x14ac:dyDescent="0.25">
      <c r="N809" s="1"/>
    </row>
    <row r="810" spans="14:14" ht="15.75" hidden="1" customHeight="1" x14ac:dyDescent="0.25">
      <c r="N810" s="1"/>
    </row>
    <row r="811" spans="14:14" ht="15.75" hidden="1" customHeight="1" x14ac:dyDescent="0.25">
      <c r="N811" s="1"/>
    </row>
    <row r="812" spans="14:14" ht="15.75" hidden="1" customHeight="1" x14ac:dyDescent="0.25">
      <c r="N812" s="1"/>
    </row>
    <row r="813" spans="14:14" ht="15.75" hidden="1" customHeight="1" x14ac:dyDescent="0.25">
      <c r="N813" s="1"/>
    </row>
    <row r="814" spans="14:14" ht="15.75" hidden="1" customHeight="1" x14ac:dyDescent="0.25">
      <c r="N814" s="1"/>
    </row>
    <row r="815" spans="14:14" ht="15.75" hidden="1" customHeight="1" x14ac:dyDescent="0.25">
      <c r="N815" s="1"/>
    </row>
    <row r="816" spans="14:14" ht="15.75" hidden="1" customHeight="1" x14ac:dyDescent="0.25">
      <c r="N816" s="1"/>
    </row>
    <row r="817" spans="14:14" ht="15.75" hidden="1" customHeight="1" x14ac:dyDescent="0.25">
      <c r="N817" s="1"/>
    </row>
    <row r="818" spans="14:14" ht="15.75" hidden="1" customHeight="1" x14ac:dyDescent="0.25">
      <c r="N818" s="1"/>
    </row>
    <row r="819" spans="14:14" ht="15.75" hidden="1" customHeight="1" x14ac:dyDescent="0.25">
      <c r="N819" s="1"/>
    </row>
    <row r="820" spans="14:14" ht="15.75" hidden="1" customHeight="1" x14ac:dyDescent="0.25">
      <c r="N820" s="1"/>
    </row>
    <row r="821" spans="14:14" ht="15.75" hidden="1" customHeight="1" x14ac:dyDescent="0.25">
      <c r="N821" s="1"/>
    </row>
    <row r="822" spans="14:14" ht="15.75" hidden="1" customHeight="1" x14ac:dyDescent="0.25">
      <c r="N822" s="1"/>
    </row>
    <row r="823" spans="14:14" ht="15.75" hidden="1" customHeight="1" x14ac:dyDescent="0.25">
      <c r="N823" s="1"/>
    </row>
    <row r="824" spans="14:14" ht="15.75" hidden="1" customHeight="1" x14ac:dyDescent="0.25">
      <c r="N824" s="1"/>
    </row>
    <row r="825" spans="14:14" ht="15.75" hidden="1" customHeight="1" x14ac:dyDescent="0.25">
      <c r="N825" s="1"/>
    </row>
    <row r="826" spans="14:14" ht="15.75" hidden="1" customHeight="1" x14ac:dyDescent="0.25">
      <c r="N826" s="1"/>
    </row>
    <row r="827" spans="14:14" ht="15.75" hidden="1" customHeight="1" x14ac:dyDescent="0.25">
      <c r="N827" s="1"/>
    </row>
    <row r="828" spans="14:14" ht="15.75" hidden="1" customHeight="1" x14ac:dyDescent="0.25">
      <c r="N828" s="1"/>
    </row>
    <row r="829" spans="14:14" ht="15.75" hidden="1" customHeight="1" x14ac:dyDescent="0.25">
      <c r="N829" s="1"/>
    </row>
    <row r="830" spans="14:14" ht="15.75" hidden="1" customHeight="1" x14ac:dyDescent="0.25">
      <c r="N830" s="1"/>
    </row>
    <row r="831" spans="14:14" ht="15.75" hidden="1" customHeight="1" x14ac:dyDescent="0.25">
      <c r="N831" s="1"/>
    </row>
    <row r="832" spans="14:14" ht="15.75" hidden="1" customHeight="1" x14ac:dyDescent="0.25">
      <c r="N832" s="1"/>
    </row>
    <row r="833" spans="14:14" ht="15.75" hidden="1" customHeight="1" x14ac:dyDescent="0.25">
      <c r="N833" s="1"/>
    </row>
    <row r="834" spans="14:14" ht="15.75" hidden="1" customHeight="1" x14ac:dyDescent="0.25">
      <c r="N834" s="1"/>
    </row>
    <row r="835" spans="14:14" ht="15.75" hidden="1" customHeight="1" x14ac:dyDescent="0.25">
      <c r="N835" s="1"/>
    </row>
    <row r="836" spans="14:14" ht="15.75" hidden="1" customHeight="1" x14ac:dyDescent="0.25">
      <c r="N836" s="1"/>
    </row>
    <row r="837" spans="14:14" ht="15.75" hidden="1" customHeight="1" x14ac:dyDescent="0.25">
      <c r="N837" s="1"/>
    </row>
    <row r="838" spans="14:14" ht="15.75" hidden="1" customHeight="1" x14ac:dyDescent="0.25">
      <c r="N838" s="1"/>
    </row>
    <row r="839" spans="14:14" ht="15.75" hidden="1" customHeight="1" x14ac:dyDescent="0.25">
      <c r="N839" s="1"/>
    </row>
    <row r="840" spans="14:14" ht="15.75" hidden="1" customHeight="1" x14ac:dyDescent="0.25">
      <c r="N840" s="1"/>
    </row>
    <row r="841" spans="14:14" ht="15.75" hidden="1" customHeight="1" x14ac:dyDescent="0.25">
      <c r="N841" s="1"/>
    </row>
    <row r="842" spans="14:14" ht="15.75" hidden="1" customHeight="1" x14ac:dyDescent="0.25">
      <c r="N842" s="1"/>
    </row>
    <row r="843" spans="14:14" ht="15.75" hidden="1" customHeight="1" x14ac:dyDescent="0.25">
      <c r="N843" s="1"/>
    </row>
    <row r="844" spans="14:14" ht="15.75" hidden="1" customHeight="1" x14ac:dyDescent="0.25">
      <c r="N844" s="1"/>
    </row>
    <row r="845" spans="14:14" ht="15.75" hidden="1" customHeight="1" x14ac:dyDescent="0.25">
      <c r="N845" s="1"/>
    </row>
    <row r="846" spans="14:14" ht="15.75" hidden="1" customHeight="1" x14ac:dyDescent="0.25">
      <c r="N846" s="1"/>
    </row>
    <row r="847" spans="14:14" ht="15.75" hidden="1" customHeight="1" x14ac:dyDescent="0.25">
      <c r="N847" s="1"/>
    </row>
    <row r="848" spans="14:14" ht="15.75" hidden="1" customHeight="1" x14ac:dyDescent="0.25">
      <c r="N848" s="1"/>
    </row>
    <row r="849" spans="14:14" ht="15.75" hidden="1" customHeight="1" x14ac:dyDescent="0.25">
      <c r="N849" s="1"/>
    </row>
    <row r="850" spans="14:14" ht="15.75" hidden="1" customHeight="1" x14ac:dyDescent="0.25">
      <c r="N850" s="1"/>
    </row>
    <row r="851" spans="14:14" ht="15.75" hidden="1" customHeight="1" x14ac:dyDescent="0.25">
      <c r="N851" s="1"/>
    </row>
    <row r="852" spans="14:14" ht="15.75" hidden="1" customHeight="1" x14ac:dyDescent="0.25">
      <c r="N852" s="1"/>
    </row>
    <row r="853" spans="14:14" ht="15.75" hidden="1" customHeight="1" x14ac:dyDescent="0.25">
      <c r="N853" s="1"/>
    </row>
    <row r="854" spans="14:14" ht="15.75" hidden="1" customHeight="1" x14ac:dyDescent="0.25">
      <c r="N854" s="1"/>
    </row>
    <row r="855" spans="14:14" ht="15.75" hidden="1" customHeight="1" x14ac:dyDescent="0.25">
      <c r="N855" s="1"/>
    </row>
    <row r="856" spans="14:14" ht="15.75" hidden="1" customHeight="1" x14ac:dyDescent="0.25">
      <c r="N856" s="1"/>
    </row>
    <row r="857" spans="14:14" ht="15.75" hidden="1" customHeight="1" x14ac:dyDescent="0.25">
      <c r="N857" s="1"/>
    </row>
    <row r="858" spans="14:14" ht="15.75" hidden="1" customHeight="1" x14ac:dyDescent="0.25">
      <c r="N858" s="1"/>
    </row>
    <row r="859" spans="14:14" ht="15.75" hidden="1" customHeight="1" x14ac:dyDescent="0.25">
      <c r="N859" s="1"/>
    </row>
    <row r="860" spans="14:14" ht="15.75" hidden="1" customHeight="1" x14ac:dyDescent="0.25">
      <c r="N860" s="1"/>
    </row>
    <row r="861" spans="14:14" ht="15.75" hidden="1" customHeight="1" x14ac:dyDescent="0.25">
      <c r="N861" s="1"/>
    </row>
    <row r="862" spans="14:14" ht="15.75" hidden="1" customHeight="1" x14ac:dyDescent="0.25">
      <c r="N862" s="1"/>
    </row>
    <row r="863" spans="14:14" ht="15.75" hidden="1" customHeight="1" x14ac:dyDescent="0.25">
      <c r="N863" s="1"/>
    </row>
    <row r="864" spans="14:14" ht="15.75" hidden="1" customHeight="1" x14ac:dyDescent="0.25">
      <c r="N864" s="1"/>
    </row>
    <row r="865" spans="14:14" ht="15.75" hidden="1" customHeight="1" x14ac:dyDescent="0.25">
      <c r="N865" s="1"/>
    </row>
    <row r="866" spans="14:14" ht="15.75" hidden="1" customHeight="1" x14ac:dyDescent="0.25">
      <c r="N866" s="1"/>
    </row>
    <row r="867" spans="14:14" ht="15.75" hidden="1" customHeight="1" x14ac:dyDescent="0.25">
      <c r="N867" s="1"/>
    </row>
    <row r="868" spans="14:14" ht="15.75" hidden="1" customHeight="1" x14ac:dyDescent="0.25">
      <c r="N868" s="1"/>
    </row>
    <row r="869" spans="14:14" ht="15.75" hidden="1" customHeight="1" x14ac:dyDescent="0.25">
      <c r="N869" s="1"/>
    </row>
    <row r="870" spans="14:14" ht="15.75" hidden="1" customHeight="1" x14ac:dyDescent="0.25">
      <c r="N870" s="1"/>
    </row>
    <row r="871" spans="14:14" ht="15.75" hidden="1" customHeight="1" x14ac:dyDescent="0.25">
      <c r="N871" s="1"/>
    </row>
    <row r="872" spans="14:14" ht="15.75" hidden="1" customHeight="1" x14ac:dyDescent="0.25">
      <c r="N872" s="1"/>
    </row>
    <row r="873" spans="14:14" ht="15.75" hidden="1" customHeight="1" x14ac:dyDescent="0.25">
      <c r="N873" s="1"/>
    </row>
    <row r="874" spans="14:14" ht="15.75" hidden="1" customHeight="1" x14ac:dyDescent="0.25">
      <c r="N874" s="1"/>
    </row>
    <row r="875" spans="14:14" ht="15.75" hidden="1" customHeight="1" x14ac:dyDescent="0.25">
      <c r="N875" s="1"/>
    </row>
    <row r="876" spans="14:14" ht="15.75" hidden="1" customHeight="1" x14ac:dyDescent="0.25">
      <c r="N876" s="1"/>
    </row>
    <row r="877" spans="14:14" ht="15.75" hidden="1" customHeight="1" x14ac:dyDescent="0.25">
      <c r="N877" s="1"/>
    </row>
    <row r="878" spans="14:14" ht="15.75" hidden="1" customHeight="1" x14ac:dyDescent="0.25">
      <c r="N878" s="1"/>
    </row>
    <row r="879" spans="14:14" ht="15.75" hidden="1" customHeight="1" x14ac:dyDescent="0.25">
      <c r="N879" s="1"/>
    </row>
    <row r="880" spans="14:14" ht="15.75" hidden="1" customHeight="1" x14ac:dyDescent="0.25">
      <c r="N880" s="1"/>
    </row>
    <row r="881" spans="14:14" ht="15.75" hidden="1" customHeight="1" x14ac:dyDescent="0.25">
      <c r="N881" s="1"/>
    </row>
    <row r="882" spans="14:14" ht="15.75" hidden="1" customHeight="1" x14ac:dyDescent="0.25">
      <c r="N882" s="1"/>
    </row>
    <row r="883" spans="14:14" ht="15.75" hidden="1" customHeight="1" x14ac:dyDescent="0.25">
      <c r="N883" s="1"/>
    </row>
    <row r="884" spans="14:14" ht="15.75" hidden="1" customHeight="1" x14ac:dyDescent="0.25">
      <c r="N884" s="1"/>
    </row>
    <row r="885" spans="14:14" ht="15.75" hidden="1" customHeight="1" x14ac:dyDescent="0.25">
      <c r="N885" s="1"/>
    </row>
    <row r="886" spans="14:14" ht="15.75" hidden="1" customHeight="1" x14ac:dyDescent="0.25">
      <c r="N886" s="1"/>
    </row>
    <row r="887" spans="14:14" ht="15.75" hidden="1" customHeight="1" x14ac:dyDescent="0.25">
      <c r="N887" s="1"/>
    </row>
    <row r="888" spans="14:14" ht="15.75" hidden="1" customHeight="1" x14ac:dyDescent="0.25">
      <c r="N888" s="1"/>
    </row>
    <row r="889" spans="14:14" ht="15.75" hidden="1" customHeight="1" x14ac:dyDescent="0.25">
      <c r="N889" s="1"/>
    </row>
    <row r="890" spans="14:14" ht="15.75" hidden="1" customHeight="1" x14ac:dyDescent="0.25">
      <c r="N890" s="1"/>
    </row>
    <row r="891" spans="14:14" ht="15.75" hidden="1" customHeight="1" x14ac:dyDescent="0.25">
      <c r="N891" s="1"/>
    </row>
    <row r="892" spans="14:14" ht="15.75" hidden="1" customHeight="1" x14ac:dyDescent="0.25">
      <c r="N892" s="1"/>
    </row>
    <row r="893" spans="14:14" ht="15.75" hidden="1" customHeight="1" x14ac:dyDescent="0.25">
      <c r="N893" s="1"/>
    </row>
    <row r="894" spans="14:14" ht="15.75" hidden="1" customHeight="1" x14ac:dyDescent="0.25">
      <c r="N894" s="1"/>
    </row>
    <row r="895" spans="14:14" ht="15.75" hidden="1" customHeight="1" x14ac:dyDescent="0.25">
      <c r="N895" s="1"/>
    </row>
    <row r="896" spans="14:14" ht="15.75" hidden="1" customHeight="1" x14ac:dyDescent="0.25">
      <c r="N896" s="1"/>
    </row>
    <row r="897" spans="14:14" ht="15.75" hidden="1" customHeight="1" x14ac:dyDescent="0.25">
      <c r="N897" s="1"/>
    </row>
    <row r="898" spans="14:14" ht="15.75" hidden="1" customHeight="1" x14ac:dyDescent="0.25">
      <c r="N898" s="1"/>
    </row>
    <row r="899" spans="14:14" ht="15.75" hidden="1" customHeight="1" x14ac:dyDescent="0.25">
      <c r="N899" s="1"/>
    </row>
    <row r="900" spans="14:14" ht="15.75" hidden="1" customHeight="1" x14ac:dyDescent="0.25">
      <c r="N900" s="1"/>
    </row>
    <row r="901" spans="14:14" ht="15.75" hidden="1" customHeight="1" x14ac:dyDescent="0.25">
      <c r="N901" s="1"/>
    </row>
    <row r="902" spans="14:14" ht="15.75" hidden="1" customHeight="1" x14ac:dyDescent="0.25">
      <c r="N902" s="1"/>
    </row>
    <row r="903" spans="14:14" ht="15.75" hidden="1" customHeight="1" x14ac:dyDescent="0.25">
      <c r="N903" s="1"/>
    </row>
    <row r="904" spans="14:14" ht="15.75" hidden="1" customHeight="1" x14ac:dyDescent="0.25">
      <c r="N904" s="1"/>
    </row>
    <row r="905" spans="14:14" ht="15.75" hidden="1" customHeight="1" x14ac:dyDescent="0.25">
      <c r="N905" s="1"/>
    </row>
    <row r="906" spans="14:14" ht="15.75" hidden="1" customHeight="1" x14ac:dyDescent="0.25">
      <c r="N906" s="1"/>
    </row>
    <row r="907" spans="14:14" ht="15.75" hidden="1" customHeight="1" x14ac:dyDescent="0.25">
      <c r="N907" s="1"/>
    </row>
    <row r="908" spans="14:14" ht="15.75" hidden="1" customHeight="1" x14ac:dyDescent="0.25">
      <c r="N908" s="1"/>
    </row>
    <row r="909" spans="14:14" ht="15.75" hidden="1" customHeight="1" x14ac:dyDescent="0.25">
      <c r="N909" s="1"/>
    </row>
    <row r="910" spans="14:14" ht="15.75" hidden="1" customHeight="1" x14ac:dyDescent="0.25">
      <c r="N910" s="1"/>
    </row>
    <row r="911" spans="14:14" ht="15.75" hidden="1" customHeight="1" x14ac:dyDescent="0.25">
      <c r="N911" s="1"/>
    </row>
    <row r="912" spans="14:14" ht="15.75" hidden="1" customHeight="1" x14ac:dyDescent="0.25">
      <c r="N912" s="1"/>
    </row>
    <row r="913" spans="14:14" ht="15.75" hidden="1" customHeight="1" x14ac:dyDescent="0.25">
      <c r="N913" s="1"/>
    </row>
    <row r="914" spans="14:14" ht="15.75" hidden="1" customHeight="1" x14ac:dyDescent="0.25">
      <c r="N914" s="1"/>
    </row>
    <row r="915" spans="14:14" ht="15.75" hidden="1" customHeight="1" x14ac:dyDescent="0.25">
      <c r="N915" s="1"/>
    </row>
    <row r="916" spans="14:14" ht="15.75" hidden="1" customHeight="1" x14ac:dyDescent="0.25">
      <c r="N916" s="1"/>
    </row>
    <row r="917" spans="14:14" ht="15.75" hidden="1" customHeight="1" x14ac:dyDescent="0.25">
      <c r="N917" s="1"/>
    </row>
    <row r="918" spans="14:14" ht="15.75" hidden="1" customHeight="1" x14ac:dyDescent="0.25">
      <c r="N918" s="1"/>
    </row>
    <row r="919" spans="14:14" ht="15.75" hidden="1" customHeight="1" x14ac:dyDescent="0.25">
      <c r="N919" s="1"/>
    </row>
    <row r="920" spans="14:14" ht="15.75" hidden="1" customHeight="1" x14ac:dyDescent="0.25">
      <c r="N920" s="1"/>
    </row>
    <row r="921" spans="14:14" ht="15.75" hidden="1" customHeight="1" x14ac:dyDescent="0.25">
      <c r="N921" s="1"/>
    </row>
    <row r="922" spans="14:14" ht="15.75" hidden="1" customHeight="1" x14ac:dyDescent="0.25">
      <c r="N922" s="1"/>
    </row>
    <row r="923" spans="14:14" ht="15.75" hidden="1" customHeight="1" x14ac:dyDescent="0.25">
      <c r="N923" s="1"/>
    </row>
    <row r="924" spans="14:14" ht="15.75" hidden="1" customHeight="1" x14ac:dyDescent="0.25">
      <c r="N924" s="1"/>
    </row>
    <row r="925" spans="14:14" ht="15.75" hidden="1" customHeight="1" x14ac:dyDescent="0.25">
      <c r="N925" s="1"/>
    </row>
    <row r="926" spans="14:14" ht="15.75" hidden="1" customHeight="1" x14ac:dyDescent="0.25">
      <c r="N926" s="1"/>
    </row>
    <row r="927" spans="14:14" ht="15.75" hidden="1" customHeight="1" x14ac:dyDescent="0.25">
      <c r="N927" s="1"/>
    </row>
    <row r="928" spans="14:14" ht="15.75" hidden="1" customHeight="1" x14ac:dyDescent="0.25">
      <c r="N928" s="1"/>
    </row>
    <row r="929" spans="14:14" ht="15.75" hidden="1" customHeight="1" x14ac:dyDescent="0.25">
      <c r="N929" s="1"/>
    </row>
    <row r="930" spans="14:14" ht="15.75" hidden="1" customHeight="1" x14ac:dyDescent="0.25">
      <c r="N930" s="1"/>
    </row>
    <row r="931" spans="14:14" ht="15.75" hidden="1" customHeight="1" x14ac:dyDescent="0.25">
      <c r="N931" s="1"/>
    </row>
    <row r="932" spans="14:14" ht="15.75" hidden="1" customHeight="1" x14ac:dyDescent="0.25">
      <c r="N932" s="1"/>
    </row>
    <row r="933" spans="14:14" ht="15.75" hidden="1" customHeight="1" x14ac:dyDescent="0.25">
      <c r="N933" s="1"/>
    </row>
    <row r="934" spans="14:14" ht="15.75" hidden="1" customHeight="1" x14ac:dyDescent="0.25">
      <c r="N934" s="1"/>
    </row>
    <row r="935" spans="14:14" ht="15.75" hidden="1" customHeight="1" x14ac:dyDescent="0.25">
      <c r="N935" s="1"/>
    </row>
    <row r="936" spans="14:14" ht="15.75" hidden="1" customHeight="1" x14ac:dyDescent="0.25">
      <c r="N936" s="1"/>
    </row>
    <row r="937" spans="14:14" ht="15.75" hidden="1" customHeight="1" x14ac:dyDescent="0.25">
      <c r="N937" s="1"/>
    </row>
    <row r="938" spans="14:14" ht="15.75" hidden="1" customHeight="1" x14ac:dyDescent="0.25">
      <c r="N938" s="1"/>
    </row>
    <row r="939" spans="14:14" ht="15.75" hidden="1" customHeight="1" x14ac:dyDescent="0.25">
      <c r="N939" s="1"/>
    </row>
    <row r="940" spans="14:14" ht="15.75" hidden="1" customHeight="1" x14ac:dyDescent="0.25">
      <c r="N940" s="1"/>
    </row>
    <row r="941" spans="14:14" ht="15.75" hidden="1" customHeight="1" x14ac:dyDescent="0.25">
      <c r="N941" s="1"/>
    </row>
    <row r="942" spans="14:14" ht="15.75" hidden="1" customHeight="1" x14ac:dyDescent="0.25">
      <c r="N942" s="1"/>
    </row>
    <row r="943" spans="14:14" ht="15.75" hidden="1" customHeight="1" x14ac:dyDescent="0.25">
      <c r="N943" s="1"/>
    </row>
    <row r="944" spans="14:14" ht="15.75" hidden="1" customHeight="1" x14ac:dyDescent="0.25">
      <c r="N944" s="1"/>
    </row>
    <row r="945" spans="14:14" ht="15.75" hidden="1" customHeight="1" x14ac:dyDescent="0.25">
      <c r="N945" s="1"/>
    </row>
    <row r="946" spans="14:14" ht="15.75" hidden="1" customHeight="1" x14ac:dyDescent="0.25">
      <c r="N946" s="1"/>
    </row>
    <row r="947" spans="14:14" ht="15.75" hidden="1" customHeight="1" x14ac:dyDescent="0.25">
      <c r="N947" s="1"/>
    </row>
    <row r="948" spans="14:14" ht="15.75" hidden="1" customHeight="1" x14ac:dyDescent="0.25">
      <c r="N948" s="1"/>
    </row>
    <row r="949" spans="14:14" ht="15.75" hidden="1" customHeight="1" x14ac:dyDescent="0.25">
      <c r="N949" s="1"/>
    </row>
    <row r="950" spans="14:14" ht="15.75" hidden="1" customHeight="1" x14ac:dyDescent="0.25">
      <c r="N950" s="1"/>
    </row>
    <row r="951" spans="14:14" ht="15.75" hidden="1" customHeight="1" x14ac:dyDescent="0.25">
      <c r="N951" s="1"/>
    </row>
    <row r="952" spans="14:14" ht="15.75" hidden="1" customHeight="1" x14ac:dyDescent="0.25">
      <c r="N952" s="1"/>
    </row>
    <row r="953" spans="14:14" ht="15.75" hidden="1" customHeight="1" x14ac:dyDescent="0.25">
      <c r="N953" s="1"/>
    </row>
    <row r="954" spans="14:14" ht="15.75" hidden="1" customHeight="1" x14ac:dyDescent="0.25">
      <c r="N954" s="1"/>
    </row>
    <row r="955" spans="14:14" ht="15.75" hidden="1" customHeight="1" x14ac:dyDescent="0.25">
      <c r="N955" s="1"/>
    </row>
    <row r="956" spans="14:14" ht="15.75" hidden="1" customHeight="1" x14ac:dyDescent="0.25">
      <c r="N956" s="1"/>
    </row>
    <row r="957" spans="14:14" ht="15.75" hidden="1" customHeight="1" x14ac:dyDescent="0.25">
      <c r="N957" s="1"/>
    </row>
    <row r="958" spans="14:14" ht="15.75" hidden="1" customHeight="1" x14ac:dyDescent="0.25">
      <c r="N958" s="1"/>
    </row>
    <row r="959" spans="14:14" ht="15.75" hidden="1" customHeight="1" x14ac:dyDescent="0.25">
      <c r="N959" s="1"/>
    </row>
    <row r="960" spans="14:14" ht="15.75" hidden="1" customHeight="1" x14ac:dyDescent="0.25">
      <c r="N960" s="1"/>
    </row>
    <row r="961" spans="14:14" ht="15.75" hidden="1" customHeight="1" x14ac:dyDescent="0.25">
      <c r="N961" s="1"/>
    </row>
    <row r="962" spans="14:14" ht="15.75" hidden="1" customHeight="1" x14ac:dyDescent="0.25">
      <c r="N962" s="1"/>
    </row>
    <row r="963" spans="14:14" ht="15.75" hidden="1" customHeight="1" x14ac:dyDescent="0.25">
      <c r="N963" s="1"/>
    </row>
    <row r="964" spans="14:14" ht="15.75" hidden="1" customHeight="1" x14ac:dyDescent="0.25">
      <c r="N964" s="1"/>
    </row>
    <row r="965" spans="14:14" ht="15.75" hidden="1" customHeight="1" x14ac:dyDescent="0.25">
      <c r="N965" s="1"/>
    </row>
    <row r="966" spans="14:14" ht="15.75" hidden="1" customHeight="1" x14ac:dyDescent="0.25">
      <c r="N966" s="1"/>
    </row>
    <row r="967" spans="14:14" ht="15.75" hidden="1" customHeight="1" x14ac:dyDescent="0.25">
      <c r="N967" s="1"/>
    </row>
    <row r="968" spans="14:14" ht="15.75" hidden="1" customHeight="1" x14ac:dyDescent="0.25">
      <c r="N968" s="1"/>
    </row>
    <row r="969" spans="14:14" ht="15.75" hidden="1" customHeight="1" x14ac:dyDescent="0.25">
      <c r="N969" s="1"/>
    </row>
    <row r="970" spans="14:14" ht="15.75" hidden="1" customHeight="1" x14ac:dyDescent="0.25">
      <c r="N970" s="1"/>
    </row>
    <row r="971" spans="14:14" ht="15.75" hidden="1" customHeight="1" x14ac:dyDescent="0.25">
      <c r="N971" s="1"/>
    </row>
    <row r="972" spans="14:14" ht="15.75" hidden="1" customHeight="1" x14ac:dyDescent="0.25">
      <c r="N972" s="1"/>
    </row>
    <row r="973" spans="14:14" ht="15.75" hidden="1" customHeight="1" x14ac:dyDescent="0.25">
      <c r="N973" s="1"/>
    </row>
    <row r="974" spans="14:14" ht="15.75" hidden="1" customHeight="1" x14ac:dyDescent="0.25">
      <c r="N974" s="1"/>
    </row>
    <row r="975" spans="14:14" ht="15.75" hidden="1" customHeight="1" x14ac:dyDescent="0.25">
      <c r="N975" s="1"/>
    </row>
    <row r="976" spans="14:14" ht="15.75" hidden="1" customHeight="1" x14ac:dyDescent="0.25">
      <c r="N976" s="1"/>
    </row>
    <row r="977" spans="14:14" ht="15.75" hidden="1" customHeight="1" x14ac:dyDescent="0.25">
      <c r="N977" s="1"/>
    </row>
    <row r="978" spans="14:14" ht="15.75" hidden="1" customHeight="1" x14ac:dyDescent="0.25">
      <c r="N978" s="1"/>
    </row>
    <row r="979" spans="14:14" ht="15.75" hidden="1" customHeight="1" x14ac:dyDescent="0.25">
      <c r="N979" s="1"/>
    </row>
    <row r="980" spans="14:14" ht="15.75" hidden="1" customHeight="1" x14ac:dyDescent="0.25">
      <c r="N980" s="1"/>
    </row>
    <row r="981" spans="14:14" ht="15.75" hidden="1" customHeight="1" x14ac:dyDescent="0.25">
      <c r="N981" s="1"/>
    </row>
    <row r="982" spans="14:14" ht="15.75" hidden="1" customHeight="1" x14ac:dyDescent="0.25">
      <c r="N982" s="1"/>
    </row>
    <row r="983" spans="14:14" ht="15.75" hidden="1" customHeight="1" x14ac:dyDescent="0.25">
      <c r="N983" s="1"/>
    </row>
    <row r="984" spans="14:14" ht="15.75" hidden="1" customHeight="1" x14ac:dyDescent="0.25">
      <c r="N984" s="1"/>
    </row>
    <row r="985" spans="14:14" ht="15.75" hidden="1" customHeight="1" x14ac:dyDescent="0.25">
      <c r="N985" s="1"/>
    </row>
    <row r="986" spans="14:14" ht="15.75" hidden="1" customHeight="1" x14ac:dyDescent="0.25">
      <c r="N986" s="1"/>
    </row>
    <row r="987" spans="14:14" ht="15.75" hidden="1" customHeight="1" x14ac:dyDescent="0.25">
      <c r="N987" s="1"/>
    </row>
    <row r="988" spans="14:14" ht="15.75" hidden="1" customHeight="1" x14ac:dyDescent="0.25">
      <c r="N988" s="1"/>
    </row>
    <row r="989" spans="14:14" ht="15.75" hidden="1" customHeight="1" x14ac:dyDescent="0.25">
      <c r="N989" s="1"/>
    </row>
    <row r="990" spans="14:14" ht="15.75" hidden="1" customHeight="1" x14ac:dyDescent="0.25">
      <c r="N990" s="1"/>
    </row>
    <row r="991" spans="14:14" ht="15.75" hidden="1" customHeight="1" x14ac:dyDescent="0.25">
      <c r="N991" s="1"/>
    </row>
    <row r="992" spans="14:14" ht="15.75" hidden="1" customHeight="1" x14ac:dyDescent="0.25">
      <c r="N992" s="1"/>
    </row>
    <row r="993" spans="14:14" ht="15.75" hidden="1" customHeight="1" x14ac:dyDescent="0.25">
      <c r="N993" s="1"/>
    </row>
    <row r="994" spans="14:14" ht="15.75" hidden="1" customHeight="1" x14ac:dyDescent="0.25">
      <c r="N994" s="1"/>
    </row>
    <row r="995" spans="14:14" ht="15.75" hidden="1" customHeight="1" x14ac:dyDescent="0.25">
      <c r="N995" s="1"/>
    </row>
    <row r="996" spans="14:14" ht="15.75" hidden="1" customHeight="1" x14ac:dyDescent="0.25">
      <c r="N996" s="1"/>
    </row>
    <row r="997" spans="14:14" ht="15.75" hidden="1" customHeight="1" x14ac:dyDescent="0.25">
      <c r="N997" s="1"/>
    </row>
    <row r="998" spans="14:14" ht="15.75" hidden="1" customHeight="1" x14ac:dyDescent="0.25">
      <c r="N998" s="1"/>
    </row>
    <row r="999" spans="14:14" ht="15.75" hidden="1" customHeight="1" x14ac:dyDescent="0.25">
      <c r="N999" s="1"/>
    </row>
    <row r="1000" spans="14:14" ht="15.75" hidden="1" customHeight="1" x14ac:dyDescent="0.25">
      <c r="N1000" s="1"/>
    </row>
    <row r="1001" spans="14:14" ht="15.75" hidden="1" customHeight="1" x14ac:dyDescent="0.25">
      <c r="N1001" s="1"/>
    </row>
    <row r="1002" spans="14:14" ht="15.75" hidden="1" customHeight="1" x14ac:dyDescent="0.25">
      <c r="N1002" s="1"/>
    </row>
  </sheetData>
  <sheetProtection algorithmName="SHA-512" hashValue="+YjS+N2909v07aptcEpRsUrMG4r2Ib0h5nKnJOxhhHIQj6szQTgFFrr0UjaagslBgJ+C/ARlX8bCeq5DA5dr7A==" saltValue="ghgHSnidMsfKH+z7HZxMzg==" spinCount="100000" sheet="1" objects="1" scenarios="1" selectLockedCells="1"/>
  <mergeCells count="25">
    <mergeCell ref="U14:Y14"/>
    <mergeCell ref="C36:G36"/>
    <mergeCell ref="I36:M36"/>
    <mergeCell ref="O36:S36"/>
    <mergeCell ref="U36:Y36"/>
    <mergeCell ref="C25:G25"/>
    <mergeCell ref="I25:M25"/>
    <mergeCell ref="O25:S25"/>
    <mergeCell ref="U25:Y25"/>
    <mergeCell ref="A43:A44"/>
    <mergeCell ref="A32:A33"/>
    <mergeCell ref="A47:AA47"/>
    <mergeCell ref="A21:A22"/>
    <mergeCell ref="C1:G1"/>
    <mergeCell ref="I1:M1"/>
    <mergeCell ref="O1:S1"/>
    <mergeCell ref="U1:Y1"/>
    <mergeCell ref="C3:G3"/>
    <mergeCell ref="I3:M3"/>
    <mergeCell ref="O3:S3"/>
    <mergeCell ref="U3:Y3"/>
    <mergeCell ref="A10:A11"/>
    <mergeCell ref="C14:G14"/>
    <mergeCell ref="I14:M14"/>
    <mergeCell ref="O14:S14"/>
  </mergeCells>
  <hyperlinks>
    <hyperlink ref="A47" r:id="rId1"/>
  </hyperlinks>
  <pageMargins left="0.7" right="0.7" top="0.75" bottom="0.75" header="0" footer="0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Informations</vt:lpstr>
      <vt:lpstr>Profil</vt:lpstr>
      <vt:lpstr>Block d'introduction</vt:lpstr>
      <vt:lpstr>Block 1</vt:lpstr>
      <vt:lpstr>Block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Thibault Marty</cp:lastModifiedBy>
  <dcterms:created xsi:type="dcterms:W3CDTF">2019-07-24T09:02:25Z</dcterms:created>
  <dcterms:modified xsi:type="dcterms:W3CDTF">2020-01-28T23:20:39Z</dcterms:modified>
</cp:coreProperties>
</file>