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/>
  </bookViews>
  <sheets>
    <sheet name="Démarrage" sheetId="1" r:id="rId1"/>
    <sheet name="Version Tradi" sheetId="3" r:id="rId2"/>
    <sheet name="Version Sumo" sheetId="2" r:id="rId3"/>
    <sheet name="Ensuite...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6" i="3" l="1"/>
  <c r="U5" i="4" l="1"/>
  <c r="W5" i="4" s="1"/>
  <c r="P5" i="4"/>
  <c r="R5" i="4" s="1"/>
  <c r="K5" i="4"/>
  <c r="M5" i="4" s="1"/>
  <c r="I44" i="3" l="1"/>
  <c r="I34" i="3"/>
  <c r="I24" i="3"/>
  <c r="I14" i="3"/>
  <c r="I4" i="3"/>
  <c r="C49" i="3" l="1"/>
  <c r="C39" i="3"/>
  <c r="C29" i="3"/>
  <c r="C19" i="3"/>
  <c r="C9" i="3"/>
  <c r="U48" i="3"/>
  <c r="F48" i="3"/>
  <c r="F47" i="3"/>
  <c r="D47" i="3"/>
  <c r="U46" i="3"/>
  <c r="J46" i="3"/>
  <c r="I46" i="3"/>
  <c r="F46" i="3"/>
  <c r="P45" i="3"/>
  <c r="O45" i="3"/>
  <c r="H45" i="3"/>
  <c r="F45" i="3"/>
  <c r="U44" i="3"/>
  <c r="P44" i="3"/>
  <c r="K44" i="3"/>
  <c r="H44" i="3"/>
  <c r="F44" i="3"/>
  <c r="U39" i="3"/>
  <c r="S39" i="3"/>
  <c r="U38" i="3"/>
  <c r="F38" i="3"/>
  <c r="U37" i="3"/>
  <c r="S37" i="3"/>
  <c r="F37" i="3"/>
  <c r="D37" i="3"/>
  <c r="U36" i="3"/>
  <c r="J36" i="3"/>
  <c r="I36" i="3"/>
  <c r="F36" i="3"/>
  <c r="U35" i="3"/>
  <c r="P35" i="3"/>
  <c r="O35" i="3"/>
  <c r="H35" i="3"/>
  <c r="F35" i="3"/>
  <c r="U34" i="3"/>
  <c r="P34" i="3"/>
  <c r="K34" i="3"/>
  <c r="H34" i="3"/>
  <c r="F34" i="3"/>
  <c r="U29" i="3"/>
  <c r="S29" i="3"/>
  <c r="U28" i="3"/>
  <c r="F28" i="3"/>
  <c r="U27" i="3"/>
  <c r="S27" i="3"/>
  <c r="F27" i="3"/>
  <c r="D27" i="3"/>
  <c r="U26" i="3"/>
  <c r="J26" i="3"/>
  <c r="I26" i="3"/>
  <c r="F26" i="3"/>
  <c r="U25" i="3"/>
  <c r="P25" i="3"/>
  <c r="O25" i="3"/>
  <c r="H25" i="3"/>
  <c r="F25" i="3"/>
  <c r="U24" i="3"/>
  <c r="P24" i="3"/>
  <c r="K24" i="3"/>
  <c r="H24" i="3"/>
  <c r="F24" i="3"/>
  <c r="U19" i="3"/>
  <c r="S19" i="3"/>
  <c r="U18" i="3"/>
  <c r="F18" i="3"/>
  <c r="U17" i="3"/>
  <c r="S17" i="3"/>
  <c r="F17" i="3"/>
  <c r="D17" i="3"/>
  <c r="U16" i="3"/>
  <c r="J16" i="3"/>
  <c r="F16" i="3"/>
  <c r="U15" i="3"/>
  <c r="P15" i="3"/>
  <c r="O15" i="3"/>
  <c r="H15" i="3"/>
  <c r="F15" i="3"/>
  <c r="U14" i="3"/>
  <c r="P14" i="3"/>
  <c r="K14" i="3"/>
  <c r="H14" i="3"/>
  <c r="F14" i="3"/>
  <c r="U9" i="3"/>
  <c r="S9" i="3"/>
  <c r="U8" i="3"/>
  <c r="F8" i="3"/>
  <c r="U7" i="3"/>
  <c r="S7" i="3"/>
  <c r="F7" i="3"/>
  <c r="D7" i="3"/>
  <c r="U6" i="3"/>
  <c r="J6" i="3"/>
  <c r="I6" i="3"/>
  <c r="F6" i="3"/>
  <c r="U5" i="3"/>
  <c r="P5" i="3"/>
  <c r="O5" i="3"/>
  <c r="H5" i="3"/>
  <c r="F5" i="3"/>
  <c r="U4" i="3"/>
  <c r="P4" i="3"/>
  <c r="K4" i="3"/>
  <c r="H4" i="3"/>
  <c r="F4" i="3"/>
  <c r="P45" i="2"/>
  <c r="P35" i="2"/>
  <c r="P25" i="2"/>
  <c r="P15" i="2"/>
  <c r="P5" i="2"/>
  <c r="D47" i="2"/>
  <c r="U48" i="2"/>
  <c r="U46" i="2"/>
  <c r="U44" i="2"/>
  <c r="C49" i="2"/>
  <c r="P46" i="2"/>
  <c r="P36" i="2"/>
  <c r="P26" i="2"/>
  <c r="P6" i="2"/>
  <c r="O45" i="2"/>
  <c r="O35" i="2"/>
  <c r="P44" i="2"/>
  <c r="J46" i="2"/>
  <c r="K44" i="2"/>
  <c r="I46" i="2"/>
  <c r="H45" i="2"/>
  <c r="H44" i="2"/>
  <c r="F48" i="2"/>
  <c r="F47" i="2"/>
  <c r="F46" i="2"/>
  <c r="F45" i="2"/>
  <c r="F44" i="2"/>
  <c r="I44" i="2"/>
  <c r="C39" i="2"/>
  <c r="J36" i="2"/>
  <c r="J16" i="2"/>
  <c r="J26" i="2"/>
  <c r="J6" i="2"/>
  <c r="D37" i="2"/>
  <c r="D27" i="2"/>
  <c r="D17" i="2"/>
  <c r="D7" i="2"/>
  <c r="O25" i="2"/>
  <c r="O15" i="2"/>
  <c r="O5" i="2"/>
  <c r="I36" i="2"/>
  <c r="I26" i="2"/>
  <c r="I6" i="2"/>
  <c r="I16" i="2"/>
  <c r="I34" i="2"/>
  <c r="I24" i="2"/>
  <c r="I14" i="2"/>
  <c r="I4" i="2"/>
  <c r="S37" i="2"/>
  <c r="S27" i="2"/>
  <c r="S17" i="2"/>
  <c r="S7" i="2"/>
  <c r="S39" i="2"/>
  <c r="S29" i="2"/>
  <c r="S19" i="2"/>
  <c r="S9" i="2"/>
  <c r="K34" i="2"/>
  <c r="K24" i="2"/>
  <c r="K14" i="2"/>
  <c r="K4" i="2"/>
  <c r="U39" i="2"/>
  <c r="U38" i="2"/>
  <c r="U37" i="2"/>
  <c r="U36" i="2"/>
  <c r="U35" i="2"/>
  <c r="U34" i="2"/>
  <c r="P34" i="2"/>
  <c r="F38" i="2"/>
  <c r="F37" i="2"/>
  <c r="F36" i="2"/>
  <c r="F35" i="2"/>
  <c r="F34" i="2"/>
  <c r="U29" i="2"/>
  <c r="U28" i="2"/>
  <c r="U27" i="2"/>
  <c r="U26" i="2"/>
  <c r="U25" i="2"/>
  <c r="U24" i="2"/>
  <c r="P24" i="2"/>
  <c r="F28" i="2"/>
  <c r="F27" i="2"/>
  <c r="F26" i="2"/>
  <c r="F25" i="2"/>
  <c r="F24" i="2"/>
  <c r="U19" i="2"/>
  <c r="U18" i="2"/>
  <c r="U17" i="2"/>
  <c r="U16" i="2"/>
  <c r="U15" i="2"/>
  <c r="U14" i="2"/>
  <c r="P16" i="2"/>
  <c r="P14" i="2"/>
  <c r="F18" i="2"/>
  <c r="F17" i="2"/>
  <c r="F16" i="2"/>
  <c r="F15" i="2"/>
  <c r="F14" i="2"/>
  <c r="U9" i="2"/>
  <c r="U8" i="2"/>
  <c r="U7" i="2"/>
  <c r="U6" i="2"/>
  <c r="U5" i="2"/>
  <c r="U4" i="2"/>
  <c r="P4" i="2"/>
  <c r="F8" i="2"/>
  <c r="F7" i="2"/>
  <c r="F6" i="2"/>
  <c r="F5" i="2"/>
  <c r="F4" i="2"/>
  <c r="H35" i="2"/>
  <c r="H34" i="2"/>
  <c r="H25" i="2"/>
  <c r="H24" i="2"/>
  <c r="C29" i="2"/>
  <c r="H15" i="2"/>
  <c r="H14" i="2"/>
  <c r="C19" i="2"/>
  <c r="H5" i="2"/>
  <c r="H4" i="2"/>
  <c r="C9" i="2"/>
</calcChain>
</file>

<file path=xl/sharedStrings.xml><?xml version="1.0" encoding="utf-8"?>
<sst xmlns="http://schemas.openxmlformats.org/spreadsheetml/2006/main" count="703" uniqueCount="100">
  <si>
    <t>Squat :</t>
  </si>
  <si>
    <t>Squat</t>
  </si>
  <si>
    <t>1RM</t>
  </si>
  <si>
    <t>DC :</t>
  </si>
  <si>
    <t>sdt :</t>
  </si>
  <si>
    <t>Consulter le fichier .pdf avant de remplir ce tableau.</t>
  </si>
  <si>
    <t>Informations de démarrage :</t>
  </si>
  <si>
    <t>Choix des exercices d'assistance :</t>
  </si>
  <si>
    <t>Sumo Pausé</t>
  </si>
  <si>
    <t>Si Traditionnel :</t>
  </si>
  <si>
    <t>Si Sumo :</t>
  </si>
  <si>
    <t>Assistance Squat :</t>
  </si>
  <si>
    <t>Assistance DC :</t>
  </si>
  <si>
    <t>Larsen Press prise moyenne</t>
  </si>
  <si>
    <t>Séance 1</t>
  </si>
  <si>
    <t>EXERCICE</t>
  </si>
  <si>
    <t>SÉRIES</t>
  </si>
  <si>
    <t>REPS</t>
  </si>
  <si>
    <t>CHARGE</t>
  </si>
  <si>
    <t>DC</t>
  </si>
  <si>
    <t>Sumo</t>
  </si>
  <si>
    <t>Semaine 1</t>
  </si>
  <si>
    <t>R</t>
  </si>
  <si>
    <t>E</t>
  </si>
  <si>
    <t>P</t>
  </si>
  <si>
    <t>O</t>
  </si>
  <si>
    <t>S</t>
  </si>
  <si>
    <t>Séance 2</t>
  </si>
  <si>
    <t>3-4</t>
  </si>
  <si>
    <t>1</t>
  </si>
  <si>
    <t>RPE6</t>
  </si>
  <si>
    <t>Tirage Horizontal</t>
  </si>
  <si>
    <t>Superset Bras</t>
  </si>
  <si>
    <t>10-20</t>
  </si>
  <si>
    <t>Facepull</t>
  </si>
  <si>
    <t>3</t>
  </si>
  <si>
    <t>Séance 3</t>
  </si>
  <si>
    <t>Sumo 4:1:4:X (straps)</t>
  </si>
  <si>
    <t>4</t>
  </si>
  <si>
    <t>2</t>
  </si>
  <si>
    <t>Tirage Horizontal uni.</t>
  </si>
  <si>
    <t>Tirage Vertical</t>
  </si>
  <si>
    <t>10</t>
  </si>
  <si>
    <t>Crunch Poulie Haute</t>
  </si>
  <si>
    <t>DC Pause Tshirt</t>
  </si>
  <si>
    <t>Séance 4</t>
  </si>
  <si>
    <t>Semaine 2</t>
  </si>
  <si>
    <t>Séance 5</t>
  </si>
  <si>
    <t>Séance 6</t>
  </si>
  <si>
    <t>Séance 7</t>
  </si>
  <si>
    <t>Séance 8</t>
  </si>
  <si>
    <t>Semaine 3</t>
  </si>
  <si>
    <t>2-3</t>
  </si>
  <si>
    <t>70%RM</t>
  </si>
  <si>
    <t>72,5%RM</t>
  </si>
  <si>
    <t>75%RM</t>
  </si>
  <si>
    <t>Semaine 4</t>
  </si>
  <si>
    <t>80%RM</t>
  </si>
  <si>
    <t>77,5%RM</t>
  </si>
  <si>
    <t>Séance 9</t>
  </si>
  <si>
    <t>Séance 10</t>
  </si>
  <si>
    <t>Séance 11</t>
  </si>
  <si>
    <t>Séance 12</t>
  </si>
  <si>
    <t>Séance 13</t>
  </si>
  <si>
    <t>Séance 14</t>
  </si>
  <si>
    <t>Séance 15</t>
  </si>
  <si>
    <t>Séance 16</t>
  </si>
  <si>
    <t>5</t>
  </si>
  <si>
    <t>Homme</t>
  </si>
  <si>
    <t xml:space="preserve">SEXE : </t>
  </si>
  <si>
    <t xml:space="preserve">Poids de corps : </t>
  </si>
  <si>
    <t xml:space="preserve">Arrondir les poids à : </t>
  </si>
  <si>
    <t>kg près</t>
  </si>
  <si>
    <t>Semaine 5</t>
  </si>
  <si>
    <t>Séance 17</t>
  </si>
  <si>
    <t>Séance 18</t>
  </si>
  <si>
    <t>Séance 19</t>
  </si>
  <si>
    <t>Séance 20</t>
  </si>
  <si>
    <t>TEST</t>
  </si>
  <si>
    <t>2-6</t>
  </si>
  <si>
    <t>OU</t>
  </si>
  <si>
    <t>Rowing Barre</t>
  </si>
  <si>
    <t>SDT</t>
  </si>
  <si>
    <t>https://www.atlascoaching.net</t>
  </si>
  <si>
    <t>Option 1 :</t>
  </si>
  <si>
    <t>Recommencer le programme avec votre nouvelle 1RM. (théorique ou testée)</t>
  </si>
  <si>
    <t>Reps</t>
  </si>
  <si>
    <t>Charge</t>
  </si>
  <si>
    <r>
      <t xml:space="preserve">Nouvelles 1RM </t>
    </r>
    <r>
      <rPr>
        <u/>
        <sz val="11"/>
        <color theme="0"/>
        <rFont val="Augustus"/>
      </rPr>
      <t>théoriques</t>
    </r>
    <r>
      <rPr>
        <sz val="11"/>
        <color theme="0"/>
        <rFont val="Augustus"/>
      </rPr>
      <t xml:space="preserve"> :</t>
    </r>
  </si>
  <si>
    <t>Option 2 :</t>
  </si>
  <si>
    <t>Partir sur un nouveau programme.</t>
  </si>
  <si>
    <t>Notamment pourquoi pas avec #ATLASBODYCOMBAT, si ce programme vous a plu et que vous aimeriez aller plus loin.</t>
  </si>
  <si>
    <t>Pour conclure, merci d'avoir suivi ce programme. N'hésitez pas à m'envoyer vos retours :</t>
  </si>
  <si>
    <t>­par mail :</t>
  </si>
  <si>
    <t>contact@atlascoaching.net</t>
  </si>
  <si>
    <t>Atlas_pwr</t>
  </si>
  <si>
    <t>­par instagram :</t>
  </si>
  <si>
    <t>Programme  ODYsSÉE :</t>
  </si>
  <si>
    <t>SDT Pausé</t>
  </si>
  <si>
    <t>Squat Barre Haute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</si>
</sst>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3" x14ac:knownFonts="1">
    <font>
      <sz val="11"/>
      <color theme="1"/>
      <name val="Calibri"/>
      <family val="2"/>
      <scheme val="minor"/>
    </font>
    <font>
      <sz val="11"/>
      <color theme="0"/>
      <name val="Augustus"/>
    </font>
    <font>
      <sz val="48"/>
      <color theme="0"/>
      <name val="Empiric Roman"/>
    </font>
    <font>
      <sz val="22"/>
      <color theme="0"/>
      <name val="Empiric Roman"/>
    </font>
    <font>
      <sz val="14"/>
      <color theme="1"/>
      <name val="Augustus"/>
    </font>
    <font>
      <b/>
      <sz val="11"/>
      <color theme="1"/>
      <name val="Augustus"/>
    </font>
    <font>
      <b/>
      <sz val="14"/>
      <name val="Augustus"/>
    </font>
    <font>
      <sz val="10"/>
      <color theme="1"/>
      <name val="Augustus"/>
    </font>
    <font>
      <sz val="12"/>
      <color theme="1"/>
      <name val="Calibri"/>
      <family val="2"/>
      <scheme val="minor"/>
    </font>
    <font>
      <b/>
      <sz val="14"/>
      <color theme="0"/>
      <name val="Augustus"/>
    </font>
    <font>
      <b/>
      <sz val="12"/>
      <color theme="1"/>
      <name val="Calibri"/>
      <family val="2"/>
      <scheme val="minor"/>
    </font>
    <font>
      <b/>
      <sz val="10"/>
      <color theme="0"/>
      <name val="Augustus"/>
    </font>
    <font>
      <sz val="14"/>
      <color theme="1"/>
      <name val="Calibri"/>
      <family val="2"/>
      <scheme val="minor"/>
    </font>
    <font>
      <sz val="16"/>
      <color theme="1"/>
      <name val="Augustus"/>
    </font>
    <font>
      <u/>
      <sz val="11"/>
      <color theme="10"/>
      <name val="Calibri"/>
      <family val="2"/>
      <scheme val="minor"/>
    </font>
    <font>
      <u/>
      <sz val="8"/>
      <color theme="0"/>
      <name val="Augustus"/>
    </font>
    <font>
      <b/>
      <sz val="48"/>
      <color theme="0"/>
      <name val="Empiric Roman"/>
    </font>
    <font>
      <b/>
      <sz val="22"/>
      <color theme="0"/>
      <name val="Augustus"/>
    </font>
    <font>
      <sz val="12"/>
      <color theme="0"/>
      <name val="Augustus"/>
    </font>
    <font>
      <sz val="14"/>
      <color theme="0"/>
      <name val="Augustus"/>
    </font>
    <font>
      <sz val="16"/>
      <color theme="0"/>
      <name val="Augustus"/>
    </font>
    <font>
      <u/>
      <sz val="11"/>
      <color theme="0"/>
      <name val="Augustus"/>
    </font>
    <font>
      <sz val="11"/>
      <color theme="1"/>
      <name val="Augustus"/>
    </font>
  </fonts>
  <fills count="10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96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4" fillId="5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0" fillId="6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49" fontId="0" fillId="4" borderId="0" xfId="0" applyNumberFormat="1" applyFill="1" applyAlignment="1">
      <alignment horizontal="center" vertical="center"/>
    </xf>
    <xf numFmtId="9" fontId="0" fillId="4" borderId="0" xfId="0" applyNumberFormat="1" applyFill="1" applyAlignment="1">
      <alignment horizontal="center" vertical="center"/>
    </xf>
    <xf numFmtId="9" fontId="0" fillId="6" borderId="0" xfId="0" applyNumberForma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10" fillId="3" borderId="5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9" fontId="0" fillId="2" borderId="6" xfId="0" applyNumberForma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49" fontId="0" fillId="4" borderId="0" xfId="0" applyNumberForma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49" fontId="0" fillId="4" borderId="7" xfId="0" quotePrefix="1" applyNumberForma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3" borderId="8" xfId="0" applyFill="1" applyBorder="1" applyAlignment="1">
      <alignment vertical="center"/>
    </xf>
    <xf numFmtId="0" fontId="0" fillId="6" borderId="8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49" fontId="0" fillId="6" borderId="7" xfId="0" applyNumberForma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3" borderId="6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10" fillId="3" borderId="6" xfId="0" applyFont="1" applyFill="1" applyBorder="1" applyAlignment="1">
      <alignment horizontal="center" vertical="center"/>
    </xf>
    <xf numFmtId="0" fontId="0" fillId="3" borderId="9" xfId="0" applyFill="1" applyBorder="1" applyAlignment="1">
      <alignment vertical="center"/>
    </xf>
    <xf numFmtId="0" fontId="0" fillId="8" borderId="5" xfId="0" applyFill="1" applyBorder="1"/>
    <xf numFmtId="0" fontId="0" fillId="8" borderId="8" xfId="0" applyFill="1" applyBorder="1"/>
    <xf numFmtId="164" fontId="4" fillId="5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164" fontId="13" fillId="5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49" fontId="0" fillId="6" borderId="0" xfId="0" applyNumberFormat="1" applyFill="1" applyBorder="1" applyAlignment="1">
      <alignment horizontal="center" vertical="center"/>
    </xf>
    <xf numFmtId="9" fontId="0" fillId="4" borderId="0" xfId="0" applyNumberFormat="1" applyFill="1" applyBorder="1" applyAlignment="1">
      <alignment horizontal="center" vertical="center"/>
    </xf>
    <xf numFmtId="9" fontId="0" fillId="6" borderId="0" xfId="0" applyNumberFormat="1" applyFill="1" applyBorder="1" applyAlignment="1">
      <alignment horizontal="center" vertical="center"/>
    </xf>
    <xf numFmtId="0" fontId="0" fillId="2" borderId="0" xfId="0" applyFill="1" applyBorder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0" fillId="9" borderId="13" xfId="0" applyFill="1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/>
    </xf>
    <xf numFmtId="0" fontId="18" fillId="2" borderId="0" xfId="0" applyFont="1" applyFill="1"/>
    <xf numFmtId="0" fontId="1" fillId="2" borderId="0" xfId="0" quotePrefix="1" applyFont="1" applyFill="1" applyAlignment="1"/>
    <xf numFmtId="0" fontId="1" fillId="2" borderId="0" xfId="0" quotePrefix="1" applyFont="1" applyFill="1" applyAlignment="1">
      <alignment vertical="center"/>
    </xf>
    <xf numFmtId="0" fontId="19" fillId="2" borderId="0" xfId="0" applyFont="1" applyFill="1" applyAlignment="1">
      <alignment horizontal="center"/>
    </xf>
    <xf numFmtId="0" fontId="0" fillId="8" borderId="12" xfId="0" applyFill="1" applyBorder="1"/>
    <xf numFmtId="0" fontId="0" fillId="8" borderId="9" xfId="0" applyFill="1" applyBorder="1"/>
    <xf numFmtId="0" fontId="0" fillId="8" borderId="15" xfId="0" applyFill="1" applyBorder="1"/>
    <xf numFmtId="0" fontId="1" fillId="8" borderId="15" xfId="0" applyFont="1" applyFill="1" applyBorder="1" applyAlignment="1">
      <alignment horizontal="center" vertical="center"/>
    </xf>
    <xf numFmtId="0" fontId="4" fillId="5" borderId="16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center" vertical="center"/>
    </xf>
    <xf numFmtId="0" fontId="9" fillId="8" borderId="15" xfId="0" applyFont="1" applyFill="1" applyBorder="1" applyAlignment="1">
      <alignment horizontal="right" vertical="center"/>
    </xf>
    <xf numFmtId="0" fontId="11" fillId="8" borderId="15" xfId="0" applyFont="1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/>
    </xf>
    <xf numFmtId="0" fontId="0" fillId="9" borderId="21" xfId="0" applyFill="1" applyBorder="1" applyAlignment="1">
      <alignment horizontal="center" vertical="center"/>
    </xf>
    <xf numFmtId="0" fontId="15" fillId="2" borderId="0" xfId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right" vertical="center"/>
    </xf>
    <xf numFmtId="0" fontId="1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6" fillId="5" borderId="18" xfId="0" applyFont="1" applyFill="1" applyBorder="1" applyAlignment="1">
      <alignment horizontal="center" vertical="center"/>
    </xf>
    <xf numFmtId="0" fontId="6" fillId="5" borderId="19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6" borderId="5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21" fillId="2" borderId="0" xfId="1" quotePrefix="1" applyFont="1" applyFill="1" applyAlignment="1">
      <alignment horizontal="center"/>
    </xf>
    <xf numFmtId="0" fontId="21" fillId="2" borderId="0" xfId="1" quotePrefix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22" fillId="7" borderId="0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171449</xdr:colOff>
      <xdr:row>0</xdr:row>
      <xdr:rowOff>104774</xdr:rowOff>
    </xdr:from>
    <xdr:to>
      <xdr:col>5</xdr:col>
      <xdr:colOff>352424</xdr:colOff>
      <xdr:row>14</xdr:row>
      <xdr:rowOff>216876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" y="104774"/>
          <a:ext cx="2790825" cy="279082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209550</xdr:rowOff>
    </xdr:from>
    <xdr:to>
      <xdr:col>5</xdr:col>
      <xdr:colOff>124147</xdr:colOff>
      <xdr:row>19</xdr:row>
      <xdr:rowOff>114452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2895600"/>
          <a:ext cx="2305372" cy="10860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257174</xdr:colOff>
      <xdr:row>1</xdr:row>
      <xdr:rowOff>133350</xdr:rowOff>
    </xdr:from>
    <xdr:to>
      <xdr:col>0</xdr:col>
      <xdr:colOff>1238249</xdr:colOff>
      <xdr:row>6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228600"/>
          <a:ext cx="981075" cy="981075"/>
        </a:xfrm>
        <a:prstGeom prst="rect">
          <a:avLst/>
        </a:prstGeom>
      </xdr:spPr>
    </xdr:pic>
    <xdr:clientData/>
  </xdr:twoCellAnchor>
  <xdr:oneCellAnchor>
    <xdr:from>
      <xdr:col>0</xdr:col>
      <xdr:colOff>257174</xdr:colOff>
      <xdr:row>11</xdr:row>
      <xdr:rowOff>133350</xdr:rowOff>
    </xdr:from>
    <xdr:ext cx="981075" cy="981075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2085975"/>
          <a:ext cx="981075" cy="981075"/>
        </a:xfrm>
        <a:prstGeom prst="rect">
          <a:avLst/>
        </a:prstGeom>
      </xdr:spPr>
    </xdr:pic>
    <xdr:clientData/>
  </xdr:oneCellAnchor>
  <xdr:oneCellAnchor>
    <xdr:from>
      <xdr:col>0</xdr:col>
      <xdr:colOff>257174</xdr:colOff>
      <xdr:row>21</xdr:row>
      <xdr:rowOff>133350</xdr:rowOff>
    </xdr:from>
    <xdr:ext cx="981075" cy="981075"/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3943350"/>
          <a:ext cx="981075" cy="981075"/>
        </a:xfrm>
        <a:prstGeom prst="rect">
          <a:avLst/>
        </a:prstGeom>
      </xdr:spPr>
    </xdr:pic>
    <xdr:clientData/>
  </xdr:oneCellAnchor>
  <xdr:oneCellAnchor>
    <xdr:from>
      <xdr:col>0</xdr:col>
      <xdr:colOff>257174</xdr:colOff>
      <xdr:row>31</xdr:row>
      <xdr:rowOff>133350</xdr:rowOff>
    </xdr:from>
    <xdr:ext cx="981075" cy="981075"/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5800725"/>
          <a:ext cx="981075" cy="981075"/>
        </a:xfrm>
        <a:prstGeom prst="rect">
          <a:avLst/>
        </a:prstGeom>
      </xdr:spPr>
    </xdr:pic>
    <xdr:clientData/>
  </xdr:oneCellAnchor>
  <xdr:oneCellAnchor>
    <xdr:from>
      <xdr:col>0</xdr:col>
      <xdr:colOff>257174</xdr:colOff>
      <xdr:row>41</xdr:row>
      <xdr:rowOff>133350</xdr:rowOff>
    </xdr:from>
    <xdr:ext cx="981075" cy="981075"/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7658100"/>
          <a:ext cx="981075" cy="9810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257174</xdr:colOff>
      <xdr:row>1</xdr:row>
      <xdr:rowOff>133350</xdr:rowOff>
    </xdr:from>
    <xdr:to>
      <xdr:col>0</xdr:col>
      <xdr:colOff>1238249</xdr:colOff>
      <xdr:row>6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323850"/>
          <a:ext cx="981075" cy="981075"/>
        </a:xfrm>
        <a:prstGeom prst="rect">
          <a:avLst/>
        </a:prstGeom>
      </xdr:spPr>
    </xdr:pic>
    <xdr:clientData/>
  </xdr:twoCellAnchor>
  <xdr:oneCellAnchor>
    <xdr:from>
      <xdr:col>0</xdr:col>
      <xdr:colOff>257174</xdr:colOff>
      <xdr:row>11</xdr:row>
      <xdr:rowOff>133350</xdr:rowOff>
    </xdr:from>
    <xdr:ext cx="981075" cy="981075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323850"/>
          <a:ext cx="981075" cy="981075"/>
        </a:xfrm>
        <a:prstGeom prst="rect">
          <a:avLst/>
        </a:prstGeom>
      </xdr:spPr>
    </xdr:pic>
    <xdr:clientData/>
  </xdr:oneCellAnchor>
  <xdr:oneCellAnchor>
    <xdr:from>
      <xdr:col>0</xdr:col>
      <xdr:colOff>257174</xdr:colOff>
      <xdr:row>21</xdr:row>
      <xdr:rowOff>133350</xdr:rowOff>
    </xdr:from>
    <xdr:ext cx="981075" cy="981075"/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2276475"/>
          <a:ext cx="981075" cy="981075"/>
        </a:xfrm>
        <a:prstGeom prst="rect">
          <a:avLst/>
        </a:prstGeom>
      </xdr:spPr>
    </xdr:pic>
    <xdr:clientData/>
  </xdr:oneCellAnchor>
  <xdr:oneCellAnchor>
    <xdr:from>
      <xdr:col>0</xdr:col>
      <xdr:colOff>257174</xdr:colOff>
      <xdr:row>31</xdr:row>
      <xdr:rowOff>133350</xdr:rowOff>
    </xdr:from>
    <xdr:ext cx="981075" cy="981075"/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3943350"/>
          <a:ext cx="981075" cy="981075"/>
        </a:xfrm>
        <a:prstGeom prst="rect">
          <a:avLst/>
        </a:prstGeom>
      </xdr:spPr>
    </xdr:pic>
    <xdr:clientData/>
  </xdr:oneCellAnchor>
  <xdr:oneCellAnchor>
    <xdr:from>
      <xdr:col>0</xdr:col>
      <xdr:colOff>257174</xdr:colOff>
      <xdr:row>41</xdr:row>
      <xdr:rowOff>133350</xdr:rowOff>
    </xdr:from>
    <xdr:ext cx="981075" cy="981075"/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5800725"/>
          <a:ext cx="981075" cy="9810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171449</xdr:rowOff>
    </xdr:from>
    <xdr:to>
      <xdr:col>5</xdr:col>
      <xdr:colOff>219075</xdr:colOff>
      <xdr:row>17</xdr:row>
      <xdr:rowOff>28574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71449"/>
          <a:ext cx="3286125" cy="328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17</xdr:row>
      <xdr:rowOff>19050</xdr:rowOff>
    </xdr:from>
    <xdr:to>
      <xdr:col>5</xdr:col>
      <xdr:colOff>17868</xdr:colOff>
      <xdr:row>23</xdr:row>
      <xdr:rowOff>95402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448050"/>
          <a:ext cx="2608668" cy="12288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tlascoaching.ne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tlascoaching.net/" TargetMode="External"/><Relationship Id="rId2" Type="http://schemas.openxmlformats.org/officeDocument/2006/relationships/hyperlink" Target="https://www.instagram.com/atlas_pwr" TargetMode="External"/><Relationship Id="rId1" Type="http://schemas.openxmlformats.org/officeDocument/2006/relationships/hyperlink" Target="mailto:contact@atlascoaching.net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0"/>
  <sheetViews>
    <sheetView showGridLines="0" tabSelected="1" zoomScaleNormal="100" workbookViewId="0">
      <selection activeCell="W5" sqref="W5"/>
    </sheetView>
  </sheetViews>
  <sheetFormatPr baseColWidth="10" defaultColWidth="0" defaultRowHeight="15" zeroHeight="1" x14ac:dyDescent="0.25"/>
  <cols>
    <col min="1" max="1" width="7.140625" customWidth="1"/>
    <col min="2" max="2" width="6" customWidth="1"/>
    <col min="3" max="4" width="9.140625" customWidth="1"/>
    <col min="5" max="5" width="7.7109375" customWidth="1"/>
    <col min="6" max="6" width="8" customWidth="1"/>
    <col min="7" max="7" width="0.5703125" customWidth="1"/>
    <col min="8" max="8" width="9.140625" customWidth="1"/>
    <col min="9" max="9" width="0.5703125" customWidth="1"/>
    <col min="10" max="10" width="9.140625" customWidth="1"/>
    <col min="11" max="11" width="0.5703125" customWidth="1"/>
    <col min="12" max="12" width="12.85546875" customWidth="1"/>
    <col min="13" max="13" width="0.5703125" customWidth="1"/>
    <col min="14" max="14" width="11" customWidth="1"/>
    <col min="15" max="15" width="7.42578125" customWidth="1"/>
    <col min="16" max="16" width="8" customWidth="1"/>
    <col min="17" max="17" width="0.5703125" customWidth="1"/>
    <col min="18" max="21" width="9.140625" customWidth="1"/>
    <col min="22" max="22" width="0.5703125" customWidth="1"/>
    <col min="23" max="36" width="9.140625" customWidth="1"/>
    <col min="37" max="16384" width="9.140625" hidden="1"/>
  </cols>
  <sheetData>
    <row r="1" spans="1:3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x14ac:dyDescent="0.25">
      <c r="A3" s="1"/>
      <c r="B3" s="1"/>
      <c r="C3" s="1"/>
      <c r="D3" s="1"/>
      <c r="E3" s="1"/>
      <c r="F3" s="1"/>
      <c r="G3" s="1"/>
      <c r="H3" s="1"/>
      <c r="I3" s="1"/>
      <c r="J3" s="95" t="s">
        <v>97</v>
      </c>
      <c r="K3" s="95"/>
      <c r="L3" s="95"/>
      <c r="M3" s="95"/>
      <c r="N3" s="95"/>
      <c r="O3" s="95"/>
      <c r="P3" s="95"/>
      <c r="Q3" s="95"/>
      <c r="R3" s="95"/>
      <c r="S3" s="95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95"/>
      <c r="K4" s="95"/>
      <c r="L4" s="95"/>
      <c r="M4" s="95"/>
      <c r="N4" s="95"/>
      <c r="O4" s="95"/>
      <c r="P4" s="95"/>
      <c r="Q4" s="95"/>
      <c r="R4" s="95"/>
      <c r="S4" s="95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 t="s">
        <v>5</v>
      </c>
      <c r="M7" s="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3.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6.7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2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9.5" customHeight="1" x14ac:dyDescent="0.25">
      <c r="A11" s="1"/>
      <c r="B11" s="1"/>
      <c r="C11" s="1"/>
      <c r="D11" s="1"/>
      <c r="E11" s="1"/>
      <c r="F11" s="1"/>
      <c r="G11" s="61"/>
      <c r="H11" s="76" t="s">
        <v>6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5"/>
      <c r="AB11" s="1"/>
      <c r="AC11" s="1"/>
      <c r="AD11" s="1"/>
      <c r="AE11" s="1"/>
      <c r="AF11" s="1"/>
      <c r="AG11" s="1"/>
      <c r="AH11" s="1"/>
      <c r="AI11" s="1"/>
      <c r="AJ11" s="1"/>
    </row>
    <row r="12" spans="1:36" ht="15.75" thickBot="1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18.75" x14ac:dyDescent="0.25">
      <c r="A13" s="1"/>
      <c r="B13" s="1"/>
      <c r="C13" s="1"/>
      <c r="D13" s="1"/>
      <c r="E13" s="1"/>
      <c r="F13" s="1"/>
      <c r="G13" s="1"/>
      <c r="H13" s="1"/>
      <c r="I13" s="61"/>
      <c r="J13" s="77" t="s">
        <v>2</v>
      </c>
      <c r="K13" s="78"/>
      <c r="L13" s="4" t="s">
        <v>0</v>
      </c>
      <c r="M13" s="63"/>
      <c r="N13" s="8">
        <v>0</v>
      </c>
      <c r="O13" s="1"/>
      <c r="P13" s="1"/>
      <c r="Q13" s="61"/>
      <c r="R13" s="76" t="s">
        <v>7</v>
      </c>
      <c r="S13" s="76"/>
      <c r="T13" s="76"/>
      <c r="U13" s="76"/>
      <c r="V13" s="76"/>
      <c r="W13" s="76"/>
      <c r="X13" s="76"/>
      <c r="Y13" s="76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ht="19.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59"/>
      <c r="L14" s="64" t="s">
        <v>3</v>
      </c>
      <c r="M14" s="64"/>
      <c r="N14" s="9">
        <v>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9.5" thickBot="1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60"/>
      <c r="L15" s="65" t="s">
        <v>4</v>
      </c>
      <c r="M15" s="65"/>
      <c r="N15" s="10">
        <v>0</v>
      </c>
      <c r="O15" s="1"/>
      <c r="P15" s="1"/>
      <c r="Q15" s="1"/>
      <c r="R15" s="71" t="s">
        <v>9</v>
      </c>
      <c r="S15" s="71"/>
      <c r="T15" s="71"/>
      <c r="U15" s="1"/>
      <c r="V15" s="1"/>
      <c r="W15" s="71" t="s">
        <v>10</v>
      </c>
      <c r="X15" s="71"/>
      <c r="Y15" s="7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9.5" customHeight="1" x14ac:dyDescent="0.7">
      <c r="A16" s="1"/>
      <c r="B16" s="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61"/>
      <c r="R16" s="72" t="s">
        <v>98</v>
      </c>
      <c r="S16" s="72"/>
      <c r="T16" s="72"/>
      <c r="U16" s="1"/>
      <c r="V16" s="61"/>
      <c r="W16" s="72" t="s">
        <v>8</v>
      </c>
      <c r="X16" s="72"/>
      <c r="Y16" s="72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 ht="19.5" customHeight="1" x14ac:dyDescent="0.35">
      <c r="A17" s="1"/>
      <c r="B17" s="75"/>
      <c r="C17" s="75"/>
      <c r="D17" s="75"/>
      <c r="E17" s="75"/>
      <c r="F17" s="1"/>
      <c r="G17" s="1"/>
      <c r="H17" s="1"/>
      <c r="I17" s="1"/>
      <c r="J17" s="73" t="s">
        <v>69</v>
      </c>
      <c r="K17" s="73"/>
      <c r="L17" s="73"/>
      <c r="M17" s="66"/>
      <c r="N17" s="45" t="s">
        <v>68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19.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74" t="s">
        <v>70</v>
      </c>
      <c r="K19" s="74"/>
      <c r="L19" s="74"/>
      <c r="M19" s="67"/>
      <c r="N19" s="42">
        <v>0</v>
      </c>
      <c r="O19" s="1"/>
      <c r="P19" s="1"/>
      <c r="Q19" s="1"/>
      <c r="R19" s="71" t="s">
        <v>11</v>
      </c>
      <c r="S19" s="71"/>
      <c r="T19" s="71"/>
      <c r="U19" s="71"/>
      <c r="V19" s="62"/>
      <c r="W19" s="72" t="s">
        <v>99</v>
      </c>
      <c r="X19" s="72"/>
      <c r="Y19" s="72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15" customHeight="1" x14ac:dyDescent="0.25">
      <c r="A20" s="1"/>
      <c r="B20" s="70" t="s">
        <v>83</v>
      </c>
      <c r="C20" s="70"/>
      <c r="D20" s="70"/>
      <c r="E20" s="7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9.5" customHeight="1" x14ac:dyDescent="0.25">
      <c r="A21" s="1"/>
      <c r="B21" s="70"/>
      <c r="C21" s="70"/>
      <c r="D21" s="70"/>
      <c r="E21" s="70"/>
      <c r="F21" s="1"/>
      <c r="G21" s="1"/>
      <c r="H21" s="74" t="s">
        <v>71</v>
      </c>
      <c r="I21" s="74"/>
      <c r="J21" s="74"/>
      <c r="K21" s="74"/>
      <c r="L21" s="74"/>
      <c r="M21" s="67"/>
      <c r="N21" s="44">
        <v>2.5</v>
      </c>
      <c r="O21" s="43" t="s">
        <v>72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19.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71" t="s">
        <v>12</v>
      </c>
      <c r="S22" s="71"/>
      <c r="T22" s="71"/>
      <c r="U22" s="71"/>
      <c r="V22" s="62"/>
      <c r="W22" s="72" t="s">
        <v>13</v>
      </c>
      <c r="X22" s="72"/>
      <c r="Y22" s="72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idden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idden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idden="1" x14ac:dyDescent="0.25"/>
    <row r="41" spans="1:36" hidden="1" x14ac:dyDescent="0.25"/>
    <row r="42" spans="1:36" hidden="1" x14ac:dyDescent="0.25"/>
    <row r="43" spans="1:36" hidden="1" x14ac:dyDescent="0.25"/>
    <row r="44" spans="1:36" hidden="1" x14ac:dyDescent="0.25"/>
    <row r="45" spans="1:36" hidden="1" x14ac:dyDescent="0.25"/>
    <row r="46" spans="1:36" hidden="1" x14ac:dyDescent="0.25"/>
    <row r="47" spans="1:36" hidden="1" x14ac:dyDescent="0.25"/>
    <row r="48" spans="1:36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t="3" hidden="1" customHeight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</sheetData>
  <mergeCells count="17">
    <mergeCell ref="J3:S4"/>
    <mergeCell ref="R13:Y13"/>
    <mergeCell ref="R16:T16"/>
    <mergeCell ref="R15:T15"/>
    <mergeCell ref="W16:Y16"/>
    <mergeCell ref="W15:Y15"/>
    <mergeCell ref="H11:Z11"/>
    <mergeCell ref="J13:K13"/>
    <mergeCell ref="B20:E21"/>
    <mergeCell ref="R22:U22"/>
    <mergeCell ref="W22:Y22"/>
    <mergeCell ref="J17:L17"/>
    <mergeCell ref="J19:L19"/>
    <mergeCell ref="H21:L21"/>
    <mergeCell ref="R19:U19"/>
    <mergeCell ref="W19:Y19"/>
    <mergeCell ref="B17:E17"/>
  </mergeCells>
  <dataValidations count="6">
    <dataValidation type="list" allowBlank="1" showInputMessage="1" showErrorMessage="1" sqref="R16:T16">
      <formula1>"SDT Deficit,SDT Pausé,SDT Prise d'arraché"</formula1>
    </dataValidation>
    <dataValidation type="list" allowBlank="1" showInputMessage="1" showErrorMessage="1" sqref="W16">
      <formula1>"Sumo Pausé,Sumo depuis des blocks"</formula1>
    </dataValidation>
    <dataValidation type="list" allowBlank="1" showInputMessage="1" showErrorMessage="1" sqref="W19:Y19">
      <formula1>"Squat Pausé,Squat Tempo 4:0:0,Squat Barre Haute"</formula1>
    </dataValidation>
    <dataValidation type="list" allowBlank="1" showInputMessage="1" showErrorMessage="1" sqref="W22:Y22">
      <formula1>"DC Serré,Larsen Press prise moyenne"</formula1>
    </dataValidation>
    <dataValidation type="list" allowBlank="1" showInputMessage="1" showErrorMessage="1" sqref="N17">
      <formula1>"Homme,Femme"</formula1>
    </dataValidation>
    <dataValidation type="list" allowBlank="1" showInputMessage="1" showErrorMessage="1" sqref="N21">
      <mc:AlternateContent xmlns:x12ac="http://schemas.microsoft.com/office/spreadsheetml/2011/1/ac" xmlns:mc="http://schemas.openxmlformats.org/markup-compatibility/2006">
        <mc:Choice Requires="x12ac">
          <x12ac:list>1,"2,5"</x12ac:list>
        </mc:Choice>
        <mc:Fallback>
          <formula1>"1,2,5"</formula1>
        </mc:Fallback>
      </mc:AlternateContent>
    </dataValidation>
  </dataValidations>
  <hyperlinks>
    <hyperlink ref="B20:E21" r:id="rId1" display="https://www.atlascoaching.net"/>
  </hyperlinks>
  <pageMargins left="0.7" right="0.7" top="0.75" bottom="0.75" header="0.3" footer="0.3"/>
  <pageSetup orientation="portrait" horizontalDpi="3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2"/>
  <sheetViews>
    <sheetView showGridLines="0" workbookViewId="0">
      <selection activeCell="R42" sqref="R42:U42"/>
    </sheetView>
  </sheetViews>
  <sheetFormatPr baseColWidth="10" defaultColWidth="0" defaultRowHeight="15" zeroHeight="1" x14ac:dyDescent="0.25"/>
  <cols>
    <col min="1" max="1" width="22.85546875" customWidth="1"/>
    <col min="2" max="2" width="0.7109375" customWidth="1"/>
    <col min="3" max="3" width="20" customWidth="1"/>
    <col min="4" max="5" width="7.85546875" customWidth="1"/>
    <col min="6" max="6" width="10" customWidth="1"/>
    <col min="7" max="7" width="7.140625" customWidth="1"/>
    <col min="8" max="8" width="20" customWidth="1"/>
    <col min="9" max="10" width="7.85546875" customWidth="1"/>
    <col min="11" max="11" width="10" customWidth="1"/>
    <col min="12" max="12" width="0.5703125" customWidth="1"/>
    <col min="13" max="13" width="20" customWidth="1"/>
    <col min="14" max="15" width="7.85546875" customWidth="1"/>
    <col min="16" max="16" width="10" customWidth="1"/>
    <col min="17" max="17" width="7.140625" customWidth="1"/>
    <col min="18" max="18" width="20" customWidth="1"/>
    <col min="19" max="20" width="7.85546875" customWidth="1"/>
    <col min="21" max="21" width="10" customWidth="1"/>
    <col min="22" max="22" width="7.140625" customWidth="1"/>
    <col min="23" max="23" width="0.7109375" customWidth="1"/>
    <col min="24" max="27" width="11.42578125" customWidth="1"/>
    <col min="28" max="28" width="0" hidden="1" customWidth="1"/>
    <col min="29" max="16384" width="11.42578125" hidden="1"/>
  </cols>
  <sheetData>
    <row r="1" spans="1:27" ht="11.2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"/>
      <c r="B2" s="40"/>
      <c r="C2" s="91" t="s">
        <v>14</v>
      </c>
      <c r="D2" s="92"/>
      <c r="E2" s="92"/>
      <c r="F2" s="92"/>
      <c r="G2" s="37"/>
      <c r="H2" s="93" t="s">
        <v>27</v>
      </c>
      <c r="I2" s="94"/>
      <c r="J2" s="94"/>
      <c r="K2" s="94"/>
      <c r="L2" s="14"/>
      <c r="M2" s="91" t="s">
        <v>36</v>
      </c>
      <c r="N2" s="92"/>
      <c r="O2" s="92"/>
      <c r="P2" s="92"/>
      <c r="Q2" s="37"/>
      <c r="R2" s="91" t="s">
        <v>45</v>
      </c>
      <c r="S2" s="92"/>
      <c r="T2" s="92"/>
      <c r="U2" s="92"/>
      <c r="V2" s="37"/>
      <c r="W2" s="1"/>
      <c r="X2" s="1"/>
      <c r="Y2" s="1"/>
      <c r="Z2" s="1"/>
      <c r="AA2" s="1"/>
    </row>
    <row r="3" spans="1:27" x14ac:dyDescent="0.25">
      <c r="A3" s="1"/>
      <c r="B3" s="40"/>
      <c r="C3" s="15" t="s">
        <v>15</v>
      </c>
      <c r="D3" s="7" t="s">
        <v>16</v>
      </c>
      <c r="E3" s="7" t="s">
        <v>17</v>
      </c>
      <c r="F3" s="7" t="s">
        <v>18</v>
      </c>
      <c r="G3" s="17"/>
      <c r="H3" s="15" t="s">
        <v>15</v>
      </c>
      <c r="I3" s="7" t="s">
        <v>16</v>
      </c>
      <c r="J3" s="7" t="s">
        <v>17</v>
      </c>
      <c r="K3" s="7" t="s">
        <v>18</v>
      </c>
      <c r="L3" s="19"/>
      <c r="M3" s="15" t="s">
        <v>15</v>
      </c>
      <c r="N3" s="7" t="s">
        <v>16</v>
      </c>
      <c r="O3" s="7" t="s">
        <v>17</v>
      </c>
      <c r="P3" s="7" t="s">
        <v>18</v>
      </c>
      <c r="Q3" s="17"/>
      <c r="R3" s="15" t="s">
        <v>15</v>
      </c>
      <c r="S3" s="7" t="s">
        <v>16</v>
      </c>
      <c r="T3" s="7" t="s">
        <v>17</v>
      </c>
      <c r="U3" s="33" t="s">
        <v>18</v>
      </c>
      <c r="V3" s="36"/>
      <c r="W3" s="1"/>
      <c r="X3" s="1"/>
      <c r="Y3" s="1"/>
      <c r="Z3" s="1"/>
      <c r="AA3" s="1"/>
    </row>
    <row r="4" spans="1:27" ht="15.75" x14ac:dyDescent="0.25">
      <c r="A4" s="1"/>
      <c r="B4" s="40"/>
      <c r="C4" s="81" t="s">
        <v>1</v>
      </c>
      <c r="D4" s="6">
        <v>1</v>
      </c>
      <c r="E4" s="6">
        <v>8</v>
      </c>
      <c r="F4" s="6" t="str">
        <f>MROUND(Démarrage!N13*0.725,(Démarrage!N21))&amp;"kg"</f>
        <v>0kg</v>
      </c>
      <c r="G4" s="18" t="s">
        <v>22</v>
      </c>
      <c r="H4" s="16" t="str">
        <f>Démarrage!W19</f>
        <v>Squat Barre Haute</v>
      </c>
      <c r="I4" s="22" t="str">
        <f>IF(Démarrage!N17="Femme","5","4")</f>
        <v>4</v>
      </c>
      <c r="J4" s="6">
        <v>6</v>
      </c>
      <c r="K4" s="6" t="str">
        <f>MROUND(Démarrage!N13*0.625,(Démarrage!N21))&amp;"kg"</f>
        <v>0kg</v>
      </c>
      <c r="L4" s="19"/>
      <c r="M4" s="81" t="s">
        <v>44</v>
      </c>
      <c r="N4" s="6">
        <v>1</v>
      </c>
      <c r="O4" s="6">
        <v>2</v>
      </c>
      <c r="P4" s="6" t="str">
        <f>MROUND(Démarrage!N14*0.8,(Démarrage!N21))&amp;"kg"</f>
        <v>0kg</v>
      </c>
      <c r="Q4" s="18" t="s">
        <v>22</v>
      </c>
      <c r="R4" s="81" t="s">
        <v>1</v>
      </c>
      <c r="S4" s="6">
        <v>1</v>
      </c>
      <c r="T4" s="6">
        <v>4</v>
      </c>
      <c r="U4" s="34" t="str">
        <f>MROUND(Démarrage!N13*0.825,(Démarrage!N21))&amp;"kg"</f>
        <v>0kg</v>
      </c>
      <c r="V4" s="38" t="s">
        <v>22</v>
      </c>
      <c r="W4" s="1"/>
      <c r="X4" s="1"/>
      <c r="Y4" s="1"/>
      <c r="Z4" s="1"/>
      <c r="AA4" s="1"/>
    </row>
    <row r="5" spans="1:27" ht="15.75" x14ac:dyDescent="0.25">
      <c r="A5" s="1"/>
      <c r="B5" s="40"/>
      <c r="C5" s="81"/>
      <c r="D5" s="6">
        <v>3</v>
      </c>
      <c r="E5" s="6">
        <v>8</v>
      </c>
      <c r="F5" s="6" t="str">
        <f>MROUND((Démarrage!N13*0.725)*0.9,(Démarrage!N21))&amp;"kg"</f>
        <v>0kg</v>
      </c>
      <c r="G5" s="18" t="s">
        <v>23</v>
      </c>
      <c r="H5" s="83" t="str">
        <f>Démarrage!W22</f>
        <v>Larsen Press prise moyenne</v>
      </c>
      <c r="I5" s="11" t="s">
        <v>29</v>
      </c>
      <c r="J5" s="7">
        <v>10</v>
      </c>
      <c r="K5" s="7" t="s">
        <v>30</v>
      </c>
      <c r="L5" s="19"/>
      <c r="M5" s="81"/>
      <c r="N5" s="6">
        <v>3</v>
      </c>
      <c r="O5" s="22">
        <f>IF(Démarrage!N17="Femme",8,7)</f>
        <v>7</v>
      </c>
      <c r="P5" s="6" t="str">
        <f>MROUND(Démarrage!N14*0.625,(Démarrage!N21))&amp;"kg"</f>
        <v>0kg</v>
      </c>
      <c r="Q5" s="18" t="s">
        <v>23</v>
      </c>
      <c r="R5" s="81"/>
      <c r="S5" s="6">
        <v>3</v>
      </c>
      <c r="T5" s="6">
        <v>5</v>
      </c>
      <c r="U5" s="34" t="str">
        <f>MROUND((Démarrage!N13*0.825)*0.875,(Démarrage!N21))&amp;"kg"</f>
        <v>0kg</v>
      </c>
      <c r="V5" s="38" t="s">
        <v>23</v>
      </c>
      <c r="W5" s="1"/>
      <c r="X5" s="1"/>
      <c r="Y5" s="1"/>
      <c r="Z5" s="1"/>
      <c r="AA5" s="1"/>
    </row>
    <row r="6" spans="1:27" ht="15.75" x14ac:dyDescent="0.25">
      <c r="A6" s="1"/>
      <c r="B6" s="40"/>
      <c r="C6" s="84" t="s">
        <v>19</v>
      </c>
      <c r="D6" s="7">
        <v>1</v>
      </c>
      <c r="E6" s="7">
        <v>8</v>
      </c>
      <c r="F6" s="7" t="str">
        <f>MROUND(Démarrage!N14*0.725,(Démarrage!N21))&amp;"kg"</f>
        <v>0kg</v>
      </c>
      <c r="G6" s="18" t="s">
        <v>24</v>
      </c>
      <c r="H6" s="83"/>
      <c r="I6" s="23" t="str">
        <f>IF(Démarrage!N19&gt;84,2,"3")</f>
        <v>3</v>
      </c>
      <c r="J6" s="23" t="str">
        <f>IF(Démarrage!N17="Femme","12","10")</f>
        <v>10</v>
      </c>
      <c r="K6" s="12">
        <v>-0.1</v>
      </c>
      <c r="L6" s="20"/>
      <c r="M6" s="21" t="s">
        <v>81</v>
      </c>
      <c r="N6" s="11" t="s">
        <v>38</v>
      </c>
      <c r="O6" s="7">
        <v>8</v>
      </c>
      <c r="P6" s="7" t="s">
        <v>53</v>
      </c>
      <c r="Q6" s="18" t="s">
        <v>24</v>
      </c>
      <c r="R6" s="84" t="s">
        <v>19</v>
      </c>
      <c r="S6" s="7">
        <v>1</v>
      </c>
      <c r="T6" s="7">
        <v>4</v>
      </c>
      <c r="U6" s="33" t="str">
        <f>MROUND(Démarrage!N14*0.825,(Démarrage!N21))&amp;"kg"</f>
        <v>0kg</v>
      </c>
      <c r="V6" s="38" t="s">
        <v>24</v>
      </c>
      <c r="W6" s="1"/>
      <c r="X6" s="1"/>
      <c r="Y6" s="1"/>
      <c r="Z6" s="1"/>
      <c r="AA6" s="1"/>
    </row>
    <row r="7" spans="1:27" ht="15.75" x14ac:dyDescent="0.25">
      <c r="A7" s="79" t="s">
        <v>21</v>
      </c>
      <c r="B7" s="40"/>
      <c r="C7" s="84"/>
      <c r="D7" s="23" t="str">
        <f>IF(Démarrage!N17="Femme","4-5","4")</f>
        <v>4</v>
      </c>
      <c r="E7" s="7">
        <v>8</v>
      </c>
      <c r="F7" s="7" t="str">
        <f>MROUND((Démarrage!N14*0.725)*0.9,(Démarrage!N21))&amp;"kg"</f>
        <v>0kg</v>
      </c>
      <c r="G7" s="18" t="s">
        <v>25</v>
      </c>
      <c r="H7" s="16" t="s">
        <v>31</v>
      </c>
      <c r="I7" s="6">
        <v>5</v>
      </c>
      <c r="J7" s="6">
        <v>12</v>
      </c>
      <c r="K7" s="13" t="s">
        <v>30</v>
      </c>
      <c r="L7" s="20"/>
      <c r="M7" s="16" t="s">
        <v>40</v>
      </c>
      <c r="N7" s="6">
        <v>4</v>
      </c>
      <c r="O7" s="6">
        <v>10</v>
      </c>
      <c r="P7" s="13" t="s">
        <v>30</v>
      </c>
      <c r="Q7" s="18" t="s">
        <v>25</v>
      </c>
      <c r="R7" s="84"/>
      <c r="S7" s="23">
        <f>IF(Démarrage!N19&gt;84,3,4)</f>
        <v>4</v>
      </c>
      <c r="T7" s="7">
        <v>5</v>
      </c>
      <c r="U7" s="33" t="str">
        <f>MROUND((Démarrage!N14*0.825)*0.875,(Démarrage!N21))&amp;"kg"</f>
        <v>0kg</v>
      </c>
      <c r="V7" s="38" t="s">
        <v>25</v>
      </c>
      <c r="W7" s="1"/>
      <c r="X7" s="1"/>
      <c r="Y7" s="1"/>
      <c r="Z7" s="1"/>
      <c r="AA7" s="1"/>
    </row>
    <row r="8" spans="1:27" ht="15.75" x14ac:dyDescent="0.25">
      <c r="A8" s="80"/>
      <c r="B8" s="40"/>
      <c r="C8" s="16" t="s">
        <v>82</v>
      </c>
      <c r="D8" s="22">
        <v>1</v>
      </c>
      <c r="E8" s="22">
        <v>8</v>
      </c>
      <c r="F8" s="22" t="str">
        <f>MROUND(Démarrage!N15*0.725,(Démarrage!N21))&amp;"kg"</f>
        <v>0kg</v>
      </c>
      <c r="G8" s="18" t="s">
        <v>26</v>
      </c>
      <c r="H8" s="15" t="s">
        <v>32</v>
      </c>
      <c r="I8" s="23">
        <v>4</v>
      </c>
      <c r="J8" s="24" t="s">
        <v>33</v>
      </c>
      <c r="K8" s="23"/>
      <c r="L8" s="19"/>
      <c r="M8" s="15" t="s">
        <v>41</v>
      </c>
      <c r="N8" s="23">
        <v>4</v>
      </c>
      <c r="O8" s="24" t="s">
        <v>42</v>
      </c>
      <c r="P8" s="23" t="s">
        <v>30</v>
      </c>
      <c r="Q8" s="18" t="s">
        <v>26</v>
      </c>
      <c r="R8" s="81" t="s">
        <v>82</v>
      </c>
      <c r="S8" s="22">
        <v>1</v>
      </c>
      <c r="T8" s="22">
        <v>4</v>
      </c>
      <c r="U8" s="34" t="str">
        <f>MROUND(Démarrage!N15*0.825,(Démarrage!N21))&amp;"kg"</f>
        <v>0kg</v>
      </c>
      <c r="V8" s="38" t="s">
        <v>26</v>
      </c>
      <c r="W8" s="1"/>
      <c r="X8" s="1"/>
      <c r="Y8" s="1"/>
      <c r="Z8" s="1"/>
      <c r="AA8" s="1"/>
    </row>
    <row r="9" spans="1:27" x14ac:dyDescent="0.25">
      <c r="A9" s="1"/>
      <c r="B9" s="41"/>
      <c r="C9" s="25" t="str">
        <f>Démarrage!R16</f>
        <v>SDT Pausé</v>
      </c>
      <c r="D9" s="26" t="s">
        <v>28</v>
      </c>
      <c r="E9" s="27">
        <v>4</v>
      </c>
      <c r="F9" s="27" t="s">
        <v>53</v>
      </c>
      <c r="G9" s="28"/>
      <c r="H9" s="29" t="s">
        <v>34</v>
      </c>
      <c r="I9" s="30">
        <v>4</v>
      </c>
      <c r="J9" s="31" t="s">
        <v>33</v>
      </c>
      <c r="K9" s="30"/>
      <c r="L9" s="32"/>
      <c r="M9" s="29" t="s">
        <v>43</v>
      </c>
      <c r="N9" s="30">
        <v>3</v>
      </c>
      <c r="O9" s="31" t="s">
        <v>33</v>
      </c>
      <c r="P9" s="30"/>
      <c r="Q9" s="28"/>
      <c r="R9" s="82"/>
      <c r="S9" s="30">
        <f>IF(Démarrage!N19&gt;84,2,3)</f>
        <v>3</v>
      </c>
      <c r="T9" s="31" t="s">
        <v>67</v>
      </c>
      <c r="U9" s="35" t="str">
        <f>MROUND((Démarrage!N15*0.825)*0.85,(Démarrage!N21))&amp;"kg"</f>
        <v>0kg</v>
      </c>
      <c r="V9" s="39"/>
      <c r="W9" s="1"/>
      <c r="X9" s="1"/>
      <c r="Y9" s="1"/>
      <c r="Z9" s="1"/>
      <c r="AA9" s="1"/>
    </row>
    <row r="10" spans="1:27" ht="7.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40"/>
      <c r="C12" s="91" t="s">
        <v>47</v>
      </c>
      <c r="D12" s="92"/>
      <c r="E12" s="92"/>
      <c r="F12" s="92"/>
      <c r="G12" s="37"/>
      <c r="H12" s="91" t="s">
        <v>48</v>
      </c>
      <c r="I12" s="92"/>
      <c r="J12" s="92"/>
      <c r="K12" s="92"/>
      <c r="L12" s="14"/>
      <c r="M12" s="91" t="s">
        <v>49</v>
      </c>
      <c r="N12" s="92"/>
      <c r="O12" s="92"/>
      <c r="P12" s="92"/>
      <c r="Q12" s="37"/>
      <c r="R12" s="91" t="s">
        <v>50</v>
      </c>
      <c r="S12" s="92"/>
      <c r="T12" s="92"/>
      <c r="U12" s="92"/>
      <c r="V12" s="37"/>
      <c r="W12" s="1"/>
      <c r="X12" s="1"/>
      <c r="Y12" s="1"/>
      <c r="Z12" s="1"/>
      <c r="AA12" s="1"/>
    </row>
    <row r="13" spans="1:27" x14ac:dyDescent="0.25">
      <c r="A13" s="1"/>
      <c r="B13" s="40"/>
      <c r="C13" s="15" t="s">
        <v>15</v>
      </c>
      <c r="D13" s="7" t="s">
        <v>16</v>
      </c>
      <c r="E13" s="7" t="s">
        <v>17</v>
      </c>
      <c r="F13" s="7" t="s">
        <v>18</v>
      </c>
      <c r="G13" s="17"/>
      <c r="H13" s="15" t="s">
        <v>15</v>
      </c>
      <c r="I13" s="7" t="s">
        <v>16</v>
      </c>
      <c r="J13" s="7" t="s">
        <v>17</v>
      </c>
      <c r="K13" s="7" t="s">
        <v>18</v>
      </c>
      <c r="L13" s="19"/>
      <c r="M13" s="15" t="s">
        <v>15</v>
      </c>
      <c r="N13" s="7" t="s">
        <v>16</v>
      </c>
      <c r="O13" s="7" t="s">
        <v>17</v>
      </c>
      <c r="P13" s="7" t="s">
        <v>18</v>
      </c>
      <c r="Q13" s="17"/>
      <c r="R13" s="15" t="s">
        <v>15</v>
      </c>
      <c r="S13" s="7" t="s">
        <v>16</v>
      </c>
      <c r="T13" s="7" t="s">
        <v>17</v>
      </c>
      <c r="U13" s="33" t="s">
        <v>18</v>
      </c>
      <c r="V13" s="36"/>
      <c r="W13" s="1"/>
      <c r="X13" s="1"/>
      <c r="Y13" s="1"/>
      <c r="Z13" s="1"/>
      <c r="AA13" s="1"/>
    </row>
    <row r="14" spans="1:27" ht="15.75" x14ac:dyDescent="0.25">
      <c r="A14" s="1"/>
      <c r="B14" s="40"/>
      <c r="C14" s="81" t="s">
        <v>1</v>
      </c>
      <c r="D14" s="6">
        <v>1</v>
      </c>
      <c r="E14" s="6">
        <v>7</v>
      </c>
      <c r="F14" s="6" t="str">
        <f>MROUND(Démarrage!N13*0.75,(Démarrage!N21))&amp;"kg"</f>
        <v>0kg</v>
      </c>
      <c r="G14" s="18" t="s">
        <v>22</v>
      </c>
      <c r="H14" s="16" t="str">
        <f>Démarrage!W19</f>
        <v>Squat Barre Haute</v>
      </c>
      <c r="I14" s="22" t="str">
        <f>IF(Démarrage!N17="Femme","4-5","3-4")</f>
        <v>3-4</v>
      </c>
      <c r="J14" s="6">
        <v>6</v>
      </c>
      <c r="K14" s="6" t="str">
        <f>MROUND(Démarrage!N13*0.65,(Démarrage!N21))&amp;"kg"</f>
        <v>0kg</v>
      </c>
      <c r="L14" s="19"/>
      <c r="M14" s="81" t="s">
        <v>44</v>
      </c>
      <c r="N14" s="6">
        <v>1</v>
      </c>
      <c r="O14" s="6">
        <v>2</v>
      </c>
      <c r="P14" s="6" t="str">
        <f>MROUND(Démarrage!N14*0.825,(Démarrage!N21))&amp;"kg"</f>
        <v>0kg</v>
      </c>
      <c r="Q14" s="18" t="s">
        <v>22</v>
      </c>
      <c r="R14" s="81" t="s">
        <v>1</v>
      </c>
      <c r="S14" s="6">
        <v>1</v>
      </c>
      <c r="T14" s="6">
        <v>3</v>
      </c>
      <c r="U14" s="34" t="str">
        <f>MROUND(Démarrage!N13*0.85,(Démarrage!N21))&amp;"kg"</f>
        <v>0kg</v>
      </c>
      <c r="V14" s="38" t="s">
        <v>22</v>
      </c>
      <c r="W14" s="1"/>
      <c r="X14" s="1"/>
      <c r="Y14" s="1"/>
      <c r="Z14" s="1"/>
      <c r="AA14" s="1"/>
    </row>
    <row r="15" spans="1:27" ht="15.75" x14ac:dyDescent="0.25">
      <c r="A15" s="1"/>
      <c r="B15" s="40"/>
      <c r="C15" s="81"/>
      <c r="D15" s="6">
        <v>3</v>
      </c>
      <c r="E15" s="6">
        <v>7</v>
      </c>
      <c r="F15" s="6" t="str">
        <f>MROUND((Démarrage!N13*0.75)*0.9,(Démarrage!N21))&amp;"kg"</f>
        <v>0kg</v>
      </c>
      <c r="G15" s="18" t="s">
        <v>23</v>
      </c>
      <c r="H15" s="83" t="str">
        <f>Démarrage!W22</f>
        <v>Larsen Press prise moyenne</v>
      </c>
      <c r="I15" s="11" t="s">
        <v>29</v>
      </c>
      <c r="J15" s="7">
        <v>9</v>
      </c>
      <c r="K15" s="7" t="s">
        <v>30</v>
      </c>
      <c r="L15" s="19"/>
      <c r="M15" s="81"/>
      <c r="N15" s="6">
        <v>3</v>
      </c>
      <c r="O15" s="22">
        <f>IF(Démarrage!N17="Femme",7,6)</f>
        <v>6</v>
      </c>
      <c r="P15" s="6" t="str">
        <f>MROUND(Démarrage!N14*0.65,(Démarrage!N21))&amp;"kg"</f>
        <v>0kg</v>
      </c>
      <c r="Q15" s="18" t="s">
        <v>23</v>
      </c>
      <c r="R15" s="81"/>
      <c r="S15" s="6">
        <v>3</v>
      </c>
      <c r="T15" s="6">
        <v>4</v>
      </c>
      <c r="U15" s="34" t="str">
        <f>MROUND((Démarrage!N13*0.85)*0.85,(Démarrage!N21))&amp;"kg"</f>
        <v>0kg</v>
      </c>
      <c r="V15" s="38" t="s">
        <v>23</v>
      </c>
      <c r="W15" s="1"/>
      <c r="X15" s="1"/>
      <c r="Y15" s="1"/>
      <c r="Z15" s="1"/>
      <c r="AA15" s="1"/>
    </row>
    <row r="16" spans="1:27" ht="15.75" x14ac:dyDescent="0.25">
      <c r="A16" s="1"/>
      <c r="B16" s="40"/>
      <c r="C16" s="84" t="s">
        <v>19</v>
      </c>
      <c r="D16" s="7">
        <v>1</v>
      </c>
      <c r="E16" s="7">
        <v>7</v>
      </c>
      <c r="F16" s="7" t="str">
        <f>MROUND(Démarrage!N14*0.75,(Démarrage!N21))&amp;"kg"</f>
        <v>0kg</v>
      </c>
      <c r="G16" s="18" t="s">
        <v>24</v>
      </c>
      <c r="H16" s="83"/>
      <c r="I16" s="23" t="str">
        <f>IF(Démarrage!N19&gt;84,2,"2-3")</f>
        <v>2-3</v>
      </c>
      <c r="J16" s="23" t="str">
        <f>IF(Démarrage!N17="Femme","11","9")</f>
        <v>9</v>
      </c>
      <c r="K16" s="12">
        <v>-0.1</v>
      </c>
      <c r="L16" s="20"/>
      <c r="M16" s="21" t="s">
        <v>81</v>
      </c>
      <c r="N16" s="11" t="s">
        <v>38</v>
      </c>
      <c r="O16" s="7">
        <v>7</v>
      </c>
      <c r="P16" s="7" t="s">
        <v>54</v>
      </c>
      <c r="Q16" s="18" t="s">
        <v>24</v>
      </c>
      <c r="R16" s="84" t="s">
        <v>19</v>
      </c>
      <c r="S16" s="7">
        <v>1</v>
      </c>
      <c r="T16" s="7">
        <v>3</v>
      </c>
      <c r="U16" s="33" t="str">
        <f>MROUND(Démarrage!N14*0.85,(Démarrage!N21))&amp;"kg"</f>
        <v>0kg</v>
      </c>
      <c r="V16" s="38" t="s">
        <v>24</v>
      </c>
      <c r="W16" s="1"/>
      <c r="X16" s="1"/>
      <c r="Y16" s="1"/>
      <c r="Z16" s="1"/>
      <c r="AA16" s="1"/>
    </row>
    <row r="17" spans="1:27" ht="15.75" x14ac:dyDescent="0.25">
      <c r="A17" s="79" t="s">
        <v>46</v>
      </c>
      <c r="B17" s="40"/>
      <c r="C17" s="84"/>
      <c r="D17" s="23" t="str">
        <f>IF(Démarrage!N17="Femme","4-5","4")</f>
        <v>4</v>
      </c>
      <c r="E17" s="7">
        <v>7</v>
      </c>
      <c r="F17" s="7" t="str">
        <f>MROUND((Démarrage!N14*0.75)*0.9,(Démarrage!N21))&amp;"kg"</f>
        <v>0kg</v>
      </c>
      <c r="G17" s="18" t="s">
        <v>25</v>
      </c>
      <c r="H17" s="16" t="s">
        <v>31</v>
      </c>
      <c r="I17" s="6">
        <v>5</v>
      </c>
      <c r="J17" s="6">
        <v>12</v>
      </c>
      <c r="K17" s="13" t="s">
        <v>30</v>
      </c>
      <c r="L17" s="20"/>
      <c r="M17" s="16" t="s">
        <v>40</v>
      </c>
      <c r="N17" s="6">
        <v>4</v>
      </c>
      <c r="O17" s="6">
        <v>10</v>
      </c>
      <c r="P17" s="13" t="s">
        <v>30</v>
      </c>
      <c r="Q17" s="18" t="s">
        <v>25</v>
      </c>
      <c r="R17" s="84"/>
      <c r="S17" s="23">
        <f>IF(Démarrage!N29&gt;84,3,4)</f>
        <v>4</v>
      </c>
      <c r="T17" s="7">
        <v>4</v>
      </c>
      <c r="U17" s="33" t="str">
        <f>MROUND((Démarrage!N14*0.85)*0.875,(Démarrage!N21))&amp;"kg"</f>
        <v>0kg</v>
      </c>
      <c r="V17" s="38" t="s">
        <v>25</v>
      </c>
      <c r="W17" s="1"/>
      <c r="X17" s="1"/>
      <c r="Y17" s="1"/>
      <c r="Z17" s="1"/>
      <c r="AA17" s="1"/>
    </row>
    <row r="18" spans="1:27" ht="15.75" x14ac:dyDescent="0.25">
      <c r="A18" s="80"/>
      <c r="B18" s="40"/>
      <c r="C18" s="16" t="s">
        <v>82</v>
      </c>
      <c r="D18" s="22">
        <v>1</v>
      </c>
      <c r="E18" s="22">
        <v>7</v>
      </c>
      <c r="F18" s="22" t="str">
        <f>MROUND(Démarrage!N15*0.75,(Démarrage!N21))&amp;"kg"</f>
        <v>0kg</v>
      </c>
      <c r="G18" s="18" t="s">
        <v>26</v>
      </c>
      <c r="H18" s="15" t="s">
        <v>32</v>
      </c>
      <c r="I18" s="23">
        <v>4</v>
      </c>
      <c r="J18" s="24" t="s">
        <v>33</v>
      </c>
      <c r="K18" s="23"/>
      <c r="L18" s="19"/>
      <c r="M18" s="15" t="s">
        <v>41</v>
      </c>
      <c r="N18" s="23">
        <v>4</v>
      </c>
      <c r="O18" s="24" t="s">
        <v>42</v>
      </c>
      <c r="P18" s="23" t="s">
        <v>30</v>
      </c>
      <c r="Q18" s="18" t="s">
        <v>26</v>
      </c>
      <c r="R18" s="81" t="s">
        <v>82</v>
      </c>
      <c r="S18" s="22">
        <v>1</v>
      </c>
      <c r="T18" s="22">
        <v>3</v>
      </c>
      <c r="U18" s="34" t="str">
        <f>MROUND(Démarrage!N15*0.85,(Démarrage!N21))&amp;"kg"</f>
        <v>0kg</v>
      </c>
      <c r="V18" s="38" t="s">
        <v>26</v>
      </c>
      <c r="W18" s="1"/>
      <c r="X18" s="1"/>
      <c r="Y18" s="1"/>
      <c r="Z18" s="1"/>
      <c r="AA18" s="1"/>
    </row>
    <row r="19" spans="1:27" x14ac:dyDescent="0.25">
      <c r="A19" s="1"/>
      <c r="B19" s="41"/>
      <c r="C19" s="25" t="str">
        <f>Démarrage!R16</f>
        <v>SDT Pausé</v>
      </c>
      <c r="D19" s="26" t="s">
        <v>28</v>
      </c>
      <c r="E19" s="27">
        <v>3</v>
      </c>
      <c r="F19" s="27" t="s">
        <v>54</v>
      </c>
      <c r="G19" s="28"/>
      <c r="H19" s="29" t="s">
        <v>34</v>
      </c>
      <c r="I19" s="30">
        <v>4</v>
      </c>
      <c r="J19" s="31" t="s">
        <v>33</v>
      </c>
      <c r="K19" s="30"/>
      <c r="L19" s="32"/>
      <c r="M19" s="29" t="s">
        <v>43</v>
      </c>
      <c r="N19" s="30">
        <v>3</v>
      </c>
      <c r="O19" s="31" t="s">
        <v>33</v>
      </c>
      <c r="P19" s="30"/>
      <c r="Q19" s="28"/>
      <c r="R19" s="82"/>
      <c r="S19" s="30">
        <f>IF(Démarrage!N29&gt;84,2,3)</f>
        <v>3</v>
      </c>
      <c r="T19" s="31" t="s">
        <v>38</v>
      </c>
      <c r="U19" s="35" t="str">
        <f>MROUND((Démarrage!N15*0.85)*0.85,(Démarrage!N21))&amp;"kg"</f>
        <v>0kg</v>
      </c>
      <c r="V19" s="39"/>
      <c r="W19" s="1"/>
      <c r="X19" s="1"/>
      <c r="Y19" s="1"/>
      <c r="Z19" s="1"/>
      <c r="AA19" s="1"/>
    </row>
    <row r="20" spans="1:27" ht="7.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x14ac:dyDescent="0.25">
      <c r="A22" s="1"/>
      <c r="B22" s="40"/>
      <c r="C22" s="91" t="s">
        <v>59</v>
      </c>
      <c r="D22" s="92"/>
      <c r="E22" s="92"/>
      <c r="F22" s="92"/>
      <c r="G22" s="37"/>
      <c r="H22" s="91" t="s">
        <v>60</v>
      </c>
      <c r="I22" s="92"/>
      <c r="J22" s="92"/>
      <c r="K22" s="92"/>
      <c r="L22" s="14"/>
      <c r="M22" s="91" t="s">
        <v>61</v>
      </c>
      <c r="N22" s="92"/>
      <c r="O22" s="92"/>
      <c r="P22" s="92"/>
      <c r="Q22" s="37"/>
      <c r="R22" s="91" t="s">
        <v>62</v>
      </c>
      <c r="S22" s="92"/>
      <c r="T22" s="92"/>
      <c r="U22" s="92"/>
      <c r="V22" s="37"/>
      <c r="W22" s="1"/>
      <c r="X22" s="1"/>
      <c r="Y22" s="1"/>
      <c r="Z22" s="1"/>
      <c r="AA22" s="1"/>
    </row>
    <row r="23" spans="1:27" x14ac:dyDescent="0.25">
      <c r="A23" s="1"/>
      <c r="B23" s="40"/>
      <c r="C23" s="15" t="s">
        <v>15</v>
      </c>
      <c r="D23" s="7" t="s">
        <v>16</v>
      </c>
      <c r="E23" s="7" t="s">
        <v>17</v>
      </c>
      <c r="F23" s="7" t="s">
        <v>18</v>
      </c>
      <c r="G23" s="17"/>
      <c r="H23" s="15" t="s">
        <v>15</v>
      </c>
      <c r="I23" s="7" t="s">
        <v>16</v>
      </c>
      <c r="J23" s="7" t="s">
        <v>17</v>
      </c>
      <c r="K23" s="7" t="s">
        <v>18</v>
      </c>
      <c r="L23" s="19"/>
      <c r="M23" s="15" t="s">
        <v>15</v>
      </c>
      <c r="N23" s="7" t="s">
        <v>16</v>
      </c>
      <c r="O23" s="7" t="s">
        <v>17</v>
      </c>
      <c r="P23" s="7" t="s">
        <v>18</v>
      </c>
      <c r="Q23" s="17"/>
      <c r="R23" s="15" t="s">
        <v>15</v>
      </c>
      <c r="S23" s="7" t="s">
        <v>16</v>
      </c>
      <c r="T23" s="7" t="s">
        <v>17</v>
      </c>
      <c r="U23" s="33" t="s">
        <v>18</v>
      </c>
      <c r="V23" s="36"/>
      <c r="W23" s="1"/>
      <c r="X23" s="1"/>
      <c r="Y23" s="1"/>
      <c r="Z23" s="1"/>
      <c r="AA23" s="1"/>
    </row>
    <row r="24" spans="1:27" ht="15.75" x14ac:dyDescent="0.25">
      <c r="A24" s="1"/>
      <c r="B24" s="40"/>
      <c r="C24" s="81" t="s">
        <v>1</v>
      </c>
      <c r="D24" s="6">
        <v>1</v>
      </c>
      <c r="E24" s="6">
        <v>6</v>
      </c>
      <c r="F24" s="6" t="str">
        <f>MROUND(Démarrage!N13*0.775,(Démarrage!N21))&amp;"kg"</f>
        <v>0kg</v>
      </c>
      <c r="G24" s="18" t="s">
        <v>22</v>
      </c>
      <c r="H24" s="16" t="str">
        <f>Démarrage!W19</f>
        <v>Squat Barre Haute</v>
      </c>
      <c r="I24" s="22" t="str">
        <f>IF(Démarrage!N17="Femme","4","3")</f>
        <v>3</v>
      </c>
      <c r="J24" s="6">
        <v>5</v>
      </c>
      <c r="K24" s="6" t="str">
        <f>MROUND(Démarrage!N13*0.675,(Démarrage!N21))&amp;"kg"</f>
        <v>0kg</v>
      </c>
      <c r="L24" s="19"/>
      <c r="M24" s="81" t="s">
        <v>44</v>
      </c>
      <c r="N24" s="6">
        <v>1</v>
      </c>
      <c r="O24" s="6">
        <v>1</v>
      </c>
      <c r="P24" s="6" t="str">
        <f>MROUND(Démarrage!N14*0.85,(Démarrage!N21))&amp;"kg"</f>
        <v>0kg</v>
      </c>
      <c r="Q24" s="18" t="s">
        <v>22</v>
      </c>
      <c r="R24" s="81" t="s">
        <v>1</v>
      </c>
      <c r="S24" s="6">
        <v>1</v>
      </c>
      <c r="T24" s="6">
        <v>2</v>
      </c>
      <c r="U24" s="34" t="str">
        <f>MROUND(Démarrage!N13*0.875,(Démarrage!N21))&amp;"kg"</f>
        <v>0kg</v>
      </c>
      <c r="V24" s="38" t="s">
        <v>22</v>
      </c>
      <c r="W24" s="1"/>
      <c r="X24" s="1"/>
      <c r="Y24" s="1"/>
      <c r="Z24" s="1"/>
      <c r="AA24" s="1"/>
    </row>
    <row r="25" spans="1:27" ht="15.75" x14ac:dyDescent="0.25">
      <c r="A25" s="1"/>
      <c r="B25" s="40"/>
      <c r="C25" s="81"/>
      <c r="D25" s="6">
        <v>3</v>
      </c>
      <c r="E25" s="6">
        <v>6</v>
      </c>
      <c r="F25" s="6" t="str">
        <f>MROUND((Démarrage!N13*0.775)*0.9,(Démarrage!N21))&amp;"kg"</f>
        <v>0kg</v>
      </c>
      <c r="G25" s="18" t="s">
        <v>23</v>
      </c>
      <c r="H25" s="83" t="str">
        <f>Démarrage!W22</f>
        <v>Larsen Press prise moyenne</v>
      </c>
      <c r="I25" s="11" t="s">
        <v>29</v>
      </c>
      <c r="J25" s="7">
        <v>8</v>
      </c>
      <c r="K25" s="7" t="s">
        <v>30</v>
      </c>
      <c r="L25" s="19"/>
      <c r="M25" s="81"/>
      <c r="N25" s="6">
        <v>3</v>
      </c>
      <c r="O25" s="22">
        <f>IF(Démarrage!N17="Femme",6,5)</f>
        <v>5</v>
      </c>
      <c r="P25" s="6" t="str">
        <f>MROUND(Démarrage!N14*0.675,(Démarrage!N21))&amp;"kg"</f>
        <v>0kg</v>
      </c>
      <c r="Q25" s="18" t="s">
        <v>23</v>
      </c>
      <c r="R25" s="81"/>
      <c r="S25" s="6">
        <v>3</v>
      </c>
      <c r="T25" s="6">
        <v>3</v>
      </c>
      <c r="U25" s="34" t="str">
        <f>MROUND((Démarrage!N13*0.875)*0.85,(Démarrage!N21))&amp;"kg"</f>
        <v>0kg</v>
      </c>
      <c r="V25" s="38" t="s">
        <v>23</v>
      </c>
      <c r="W25" s="1"/>
      <c r="X25" s="1"/>
      <c r="Y25" s="1"/>
      <c r="Z25" s="1"/>
      <c r="AA25" s="1"/>
    </row>
    <row r="26" spans="1:27" ht="15.75" x14ac:dyDescent="0.25">
      <c r="A26" s="1"/>
      <c r="B26" s="40"/>
      <c r="C26" s="84" t="s">
        <v>19</v>
      </c>
      <c r="D26" s="7">
        <v>1</v>
      </c>
      <c r="E26" s="7">
        <v>6</v>
      </c>
      <c r="F26" s="7" t="str">
        <f>MROUND(Démarrage!N14*0.775,(Démarrage!N21))&amp;"kg"</f>
        <v>0kg</v>
      </c>
      <c r="G26" s="18" t="s">
        <v>24</v>
      </c>
      <c r="H26" s="83"/>
      <c r="I26" s="23" t="str">
        <f>IF(Démarrage!N19&gt;84,2,"2-3")</f>
        <v>2-3</v>
      </c>
      <c r="J26" s="23" t="str">
        <f>IF(Démarrage!N17="Femme","10","8")</f>
        <v>8</v>
      </c>
      <c r="K26" s="12">
        <v>-0.1</v>
      </c>
      <c r="L26" s="20"/>
      <c r="M26" s="21" t="s">
        <v>81</v>
      </c>
      <c r="N26" s="11" t="s">
        <v>35</v>
      </c>
      <c r="O26" s="7">
        <v>7</v>
      </c>
      <c r="P26" s="7" t="s">
        <v>55</v>
      </c>
      <c r="Q26" s="18" t="s">
        <v>24</v>
      </c>
      <c r="R26" s="84" t="s">
        <v>19</v>
      </c>
      <c r="S26" s="7">
        <v>1</v>
      </c>
      <c r="T26" s="7">
        <v>2</v>
      </c>
      <c r="U26" s="33" t="str">
        <f>MROUND(Démarrage!N14*0.875,(Démarrage!N21))&amp;"kg"</f>
        <v>0kg</v>
      </c>
      <c r="V26" s="38" t="s">
        <v>24</v>
      </c>
      <c r="W26" s="1"/>
      <c r="X26" s="1"/>
      <c r="Y26" s="1"/>
      <c r="Z26" s="1"/>
      <c r="AA26" s="1"/>
    </row>
    <row r="27" spans="1:27" ht="15.75" x14ac:dyDescent="0.25">
      <c r="A27" s="79" t="s">
        <v>51</v>
      </c>
      <c r="B27" s="40"/>
      <c r="C27" s="84"/>
      <c r="D27" s="23" t="str">
        <f>IF(Démarrage!N17="Femme","4-5","4")</f>
        <v>4</v>
      </c>
      <c r="E27" s="7">
        <v>6</v>
      </c>
      <c r="F27" s="7" t="str">
        <f>MROUND((Démarrage!N14*0.775)*0.9,(Démarrage!N21))&amp;"kg"</f>
        <v>0kg</v>
      </c>
      <c r="G27" s="18" t="s">
        <v>25</v>
      </c>
      <c r="H27" s="16" t="s">
        <v>31</v>
      </c>
      <c r="I27" s="6">
        <v>4</v>
      </c>
      <c r="J27" s="6">
        <v>12</v>
      </c>
      <c r="K27" s="13" t="s">
        <v>30</v>
      </c>
      <c r="L27" s="20"/>
      <c r="M27" s="16" t="s">
        <v>40</v>
      </c>
      <c r="N27" s="6">
        <v>3</v>
      </c>
      <c r="O27" s="6">
        <v>10</v>
      </c>
      <c r="P27" s="13" t="s">
        <v>30</v>
      </c>
      <c r="Q27" s="18" t="s">
        <v>25</v>
      </c>
      <c r="R27" s="84"/>
      <c r="S27" s="23">
        <f>IF(Démarrage!N39&gt;84,3,4)</f>
        <v>4</v>
      </c>
      <c r="T27" s="7">
        <v>3</v>
      </c>
      <c r="U27" s="33" t="str">
        <f>MROUND((Démarrage!N14*0.875)*0.875,(Démarrage!N21))&amp;"kg"</f>
        <v>0kg</v>
      </c>
      <c r="V27" s="38" t="s">
        <v>25</v>
      </c>
      <c r="W27" s="1"/>
      <c r="X27" s="1"/>
      <c r="Y27" s="1"/>
      <c r="Z27" s="1"/>
      <c r="AA27" s="1"/>
    </row>
    <row r="28" spans="1:27" ht="15.75" x14ac:dyDescent="0.25">
      <c r="A28" s="80"/>
      <c r="B28" s="40"/>
      <c r="C28" s="16" t="s">
        <v>82</v>
      </c>
      <c r="D28" s="22">
        <v>1</v>
      </c>
      <c r="E28" s="22">
        <v>6</v>
      </c>
      <c r="F28" s="22" t="str">
        <f>MROUND(Démarrage!N15*0.775,(Démarrage!N21))&amp;"kg"</f>
        <v>0kg</v>
      </c>
      <c r="G28" s="18" t="s">
        <v>26</v>
      </c>
      <c r="H28" s="15" t="s">
        <v>32</v>
      </c>
      <c r="I28" s="23">
        <v>4</v>
      </c>
      <c r="J28" s="24" t="s">
        <v>33</v>
      </c>
      <c r="K28" s="23"/>
      <c r="L28" s="19"/>
      <c r="M28" s="15" t="s">
        <v>41</v>
      </c>
      <c r="N28" s="23">
        <v>3</v>
      </c>
      <c r="O28" s="24" t="s">
        <v>42</v>
      </c>
      <c r="P28" s="23" t="s">
        <v>30</v>
      </c>
      <c r="Q28" s="18" t="s">
        <v>26</v>
      </c>
      <c r="R28" s="81" t="s">
        <v>82</v>
      </c>
      <c r="S28" s="22">
        <v>1</v>
      </c>
      <c r="T28" s="22">
        <v>2</v>
      </c>
      <c r="U28" s="34" t="str">
        <f>MROUND(Démarrage!N15*0.875,(Démarrage!N21))&amp;"kg"</f>
        <v>0kg</v>
      </c>
      <c r="V28" s="38" t="s">
        <v>26</v>
      </c>
      <c r="W28" s="1"/>
      <c r="X28" s="1"/>
      <c r="Y28" s="1"/>
      <c r="Z28" s="1"/>
      <c r="AA28" s="1"/>
    </row>
    <row r="29" spans="1:27" x14ac:dyDescent="0.25">
      <c r="A29" s="1"/>
      <c r="B29" s="41"/>
      <c r="C29" s="25" t="str">
        <f>Démarrage!R16</f>
        <v>SDT Pausé</v>
      </c>
      <c r="D29" s="26" t="s">
        <v>52</v>
      </c>
      <c r="E29" s="27">
        <v>3</v>
      </c>
      <c r="F29" s="27" t="s">
        <v>55</v>
      </c>
      <c r="G29" s="28"/>
      <c r="H29" s="29" t="s">
        <v>34</v>
      </c>
      <c r="I29" s="30">
        <v>3</v>
      </c>
      <c r="J29" s="31" t="s">
        <v>33</v>
      </c>
      <c r="K29" s="30"/>
      <c r="L29" s="32"/>
      <c r="M29" s="29" t="s">
        <v>43</v>
      </c>
      <c r="N29" s="30">
        <v>3</v>
      </c>
      <c r="O29" s="31" t="s">
        <v>33</v>
      </c>
      <c r="P29" s="30"/>
      <c r="Q29" s="28"/>
      <c r="R29" s="82"/>
      <c r="S29" s="30">
        <f>IF(Démarrage!N39&gt;84,2,3)</f>
        <v>3</v>
      </c>
      <c r="T29" s="31" t="s">
        <v>35</v>
      </c>
      <c r="U29" s="35" t="str">
        <f>MROUND((Démarrage!N15*0.875)*0.85,(Démarrage!N21))&amp;"kg"</f>
        <v>0kg</v>
      </c>
      <c r="V29" s="39"/>
      <c r="W29" s="1"/>
      <c r="X29" s="1"/>
      <c r="Y29" s="1"/>
      <c r="Z29" s="1"/>
      <c r="AA29" s="1"/>
    </row>
    <row r="30" spans="1:27" ht="7.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x14ac:dyDescent="0.25">
      <c r="A32" s="1"/>
      <c r="B32" s="40"/>
      <c r="C32" s="91" t="s">
        <v>63</v>
      </c>
      <c r="D32" s="92"/>
      <c r="E32" s="92"/>
      <c r="F32" s="92"/>
      <c r="G32" s="37"/>
      <c r="H32" s="91" t="s">
        <v>64</v>
      </c>
      <c r="I32" s="92"/>
      <c r="J32" s="92"/>
      <c r="K32" s="92"/>
      <c r="L32" s="14"/>
      <c r="M32" s="91" t="s">
        <v>65</v>
      </c>
      <c r="N32" s="92"/>
      <c r="O32" s="92"/>
      <c r="P32" s="92"/>
      <c r="Q32" s="37"/>
      <c r="R32" s="91" t="s">
        <v>66</v>
      </c>
      <c r="S32" s="92"/>
      <c r="T32" s="92"/>
      <c r="U32" s="92"/>
      <c r="V32" s="37"/>
      <c r="W32" s="1"/>
      <c r="X32" s="1"/>
      <c r="Y32" s="1"/>
      <c r="Z32" s="1"/>
      <c r="AA32" s="1"/>
    </row>
    <row r="33" spans="1:27" x14ac:dyDescent="0.25">
      <c r="A33" s="1"/>
      <c r="B33" s="40"/>
      <c r="C33" s="15" t="s">
        <v>15</v>
      </c>
      <c r="D33" s="7" t="s">
        <v>16</v>
      </c>
      <c r="E33" s="7" t="s">
        <v>17</v>
      </c>
      <c r="F33" s="7" t="s">
        <v>18</v>
      </c>
      <c r="G33" s="17"/>
      <c r="H33" s="15" t="s">
        <v>15</v>
      </c>
      <c r="I33" s="7" t="s">
        <v>16</v>
      </c>
      <c r="J33" s="7" t="s">
        <v>17</v>
      </c>
      <c r="K33" s="7" t="s">
        <v>18</v>
      </c>
      <c r="L33" s="19"/>
      <c r="M33" s="15" t="s">
        <v>15</v>
      </c>
      <c r="N33" s="7" t="s">
        <v>16</v>
      </c>
      <c r="O33" s="7" t="s">
        <v>17</v>
      </c>
      <c r="P33" s="7" t="s">
        <v>18</v>
      </c>
      <c r="Q33" s="17"/>
      <c r="R33" s="15" t="s">
        <v>15</v>
      </c>
      <c r="S33" s="7" t="s">
        <v>16</v>
      </c>
      <c r="T33" s="7" t="s">
        <v>17</v>
      </c>
      <c r="U33" s="33" t="s">
        <v>18</v>
      </c>
      <c r="V33" s="36"/>
      <c r="W33" s="1"/>
      <c r="X33" s="1"/>
      <c r="Y33" s="1"/>
      <c r="Z33" s="1"/>
      <c r="AA33" s="1"/>
    </row>
    <row r="34" spans="1:27" ht="15.75" x14ac:dyDescent="0.25">
      <c r="A34" s="1"/>
      <c r="B34" s="40"/>
      <c r="C34" s="81" t="s">
        <v>1</v>
      </c>
      <c r="D34" s="6">
        <v>1</v>
      </c>
      <c r="E34" s="6">
        <v>5</v>
      </c>
      <c r="F34" s="6" t="str">
        <f>MROUND(Démarrage!N13*0.8,(Démarrage!N21))&amp;"kg"</f>
        <v>0kg</v>
      </c>
      <c r="G34" s="18" t="s">
        <v>22</v>
      </c>
      <c r="H34" s="16" t="str">
        <f>Démarrage!W19</f>
        <v>Squat Barre Haute</v>
      </c>
      <c r="I34" s="22" t="str">
        <f>IF(Démarrage!N17="Femme","3-4","2-3")</f>
        <v>2-3</v>
      </c>
      <c r="J34" s="6">
        <v>4</v>
      </c>
      <c r="K34" s="6" t="str">
        <f>MROUND(Démarrage!N13*0.7,(Démarrage!N21))&amp;"kg"</f>
        <v>0kg</v>
      </c>
      <c r="L34" s="19"/>
      <c r="M34" s="81" t="s">
        <v>44</v>
      </c>
      <c r="N34" s="6">
        <v>1</v>
      </c>
      <c r="O34" s="6">
        <v>1</v>
      </c>
      <c r="P34" s="6" t="str">
        <f>MROUND(Démarrage!N14*0.875,(Démarrage!N21))&amp;"kg"</f>
        <v>0kg</v>
      </c>
      <c r="Q34" s="18" t="s">
        <v>22</v>
      </c>
      <c r="R34" s="81" t="s">
        <v>1</v>
      </c>
      <c r="S34" s="6">
        <v>1</v>
      </c>
      <c r="T34" s="6">
        <v>1</v>
      </c>
      <c r="U34" s="34" t="str">
        <f>MROUND(Démarrage!N13*0.9,(Démarrage!N21))&amp;"kg"</f>
        <v>0kg</v>
      </c>
      <c r="V34" s="38" t="s">
        <v>22</v>
      </c>
      <c r="W34" s="1"/>
      <c r="X34" s="1"/>
      <c r="Y34" s="1"/>
      <c r="Z34" s="1"/>
      <c r="AA34" s="1"/>
    </row>
    <row r="35" spans="1:27" ht="15.75" x14ac:dyDescent="0.25">
      <c r="A35" s="1"/>
      <c r="B35" s="40"/>
      <c r="C35" s="81"/>
      <c r="D35" s="6">
        <v>3</v>
      </c>
      <c r="E35" s="6">
        <v>5</v>
      </c>
      <c r="F35" s="6" t="str">
        <f>MROUND((Démarrage!N13*0.8)*0.9,(Démarrage!N21))&amp;"kg"</f>
        <v>0kg</v>
      </c>
      <c r="G35" s="18" t="s">
        <v>23</v>
      </c>
      <c r="H35" s="83" t="str">
        <f>Démarrage!W22</f>
        <v>Larsen Press prise moyenne</v>
      </c>
      <c r="I35" s="11" t="s">
        <v>29</v>
      </c>
      <c r="J35" s="7">
        <v>7</v>
      </c>
      <c r="K35" s="7" t="s">
        <v>30</v>
      </c>
      <c r="L35" s="19"/>
      <c r="M35" s="81"/>
      <c r="N35" s="6">
        <v>3</v>
      </c>
      <c r="O35" s="22">
        <f>IF(Démarrage!N17="Femme",5,4)</f>
        <v>4</v>
      </c>
      <c r="P35" s="6" t="str">
        <f>MROUND(Démarrage!N14*0.7,(Démarrage!N21))&amp;"kg"</f>
        <v>0kg</v>
      </c>
      <c r="Q35" s="18" t="s">
        <v>23</v>
      </c>
      <c r="R35" s="81"/>
      <c r="S35" s="6">
        <v>3</v>
      </c>
      <c r="T35" s="6">
        <v>2</v>
      </c>
      <c r="U35" s="34" t="str">
        <f>MROUND((Démarrage!N13*0.9)*0.85,(Démarrage!N21))&amp;"kg"</f>
        <v>0kg</v>
      </c>
      <c r="V35" s="38" t="s">
        <v>23</v>
      </c>
      <c r="W35" s="1"/>
      <c r="X35" s="1"/>
      <c r="Y35" s="1"/>
      <c r="Z35" s="1"/>
      <c r="AA35" s="1"/>
    </row>
    <row r="36" spans="1:27" ht="15.75" x14ac:dyDescent="0.25">
      <c r="A36" s="1"/>
      <c r="B36" s="40"/>
      <c r="C36" s="84" t="s">
        <v>19</v>
      </c>
      <c r="D36" s="7">
        <v>1</v>
      </c>
      <c r="E36" s="7">
        <v>5</v>
      </c>
      <c r="F36" s="7" t="str">
        <f>MROUND(Démarrage!N14*0.8,(Démarrage!N21))&amp;"kg"</f>
        <v>0kg</v>
      </c>
      <c r="G36" s="18" t="s">
        <v>24</v>
      </c>
      <c r="H36" s="83"/>
      <c r="I36" s="23">
        <f>IF(Démarrage!N19&gt;84,1,2)</f>
        <v>2</v>
      </c>
      <c r="J36" s="23" t="str">
        <f>IF(Démarrage!N17="Femme","9","7")</f>
        <v>7</v>
      </c>
      <c r="K36" s="12">
        <v>-0.1</v>
      </c>
      <c r="L36" s="20"/>
      <c r="M36" s="21" t="s">
        <v>81</v>
      </c>
      <c r="N36" s="11" t="s">
        <v>35</v>
      </c>
      <c r="O36" s="7">
        <v>6</v>
      </c>
      <c r="P36" s="7" t="s">
        <v>58</v>
      </c>
      <c r="Q36" s="18" t="s">
        <v>24</v>
      </c>
      <c r="R36" s="84" t="s">
        <v>19</v>
      </c>
      <c r="S36" s="7">
        <v>1</v>
      </c>
      <c r="T36" s="7">
        <v>1</v>
      </c>
      <c r="U36" s="33" t="str">
        <f>MROUND(Démarrage!N14*0.9,(Démarrage!N21))&amp;"kg"</f>
        <v>0kg</v>
      </c>
      <c r="V36" s="38" t="s">
        <v>24</v>
      </c>
      <c r="W36" s="1"/>
      <c r="X36" s="1"/>
      <c r="Y36" s="1"/>
      <c r="Z36" s="1"/>
      <c r="AA36" s="1"/>
    </row>
    <row r="37" spans="1:27" ht="15.75" x14ac:dyDescent="0.25">
      <c r="A37" s="79" t="s">
        <v>56</v>
      </c>
      <c r="B37" s="40"/>
      <c r="C37" s="84"/>
      <c r="D37" s="23" t="str">
        <f>IF(Démarrage!N17="Femme","4-5","4")</f>
        <v>4</v>
      </c>
      <c r="E37" s="7">
        <v>5</v>
      </c>
      <c r="F37" s="7" t="str">
        <f>MROUND((Démarrage!N14*0.8)*0.9,(Démarrage!N21))&amp;"kg"</f>
        <v>0kg</v>
      </c>
      <c r="G37" s="18" t="s">
        <v>25</v>
      </c>
      <c r="H37" s="16" t="s">
        <v>31</v>
      </c>
      <c r="I37" s="6">
        <v>4</v>
      </c>
      <c r="J37" s="6">
        <v>12</v>
      </c>
      <c r="K37" s="13" t="s">
        <v>30</v>
      </c>
      <c r="L37" s="20"/>
      <c r="M37" s="16" t="s">
        <v>40</v>
      </c>
      <c r="N37" s="6">
        <v>3</v>
      </c>
      <c r="O37" s="6">
        <v>10</v>
      </c>
      <c r="P37" s="13" t="s">
        <v>30</v>
      </c>
      <c r="Q37" s="18" t="s">
        <v>25</v>
      </c>
      <c r="R37" s="84"/>
      <c r="S37" s="23">
        <f>IF(Démarrage!N49&gt;84,3,4)</f>
        <v>4</v>
      </c>
      <c r="T37" s="7">
        <v>2</v>
      </c>
      <c r="U37" s="33" t="str">
        <f>MROUND((Démarrage!N14*0.9)*0.875,(Démarrage!N21))&amp;"kg"</f>
        <v>0kg</v>
      </c>
      <c r="V37" s="38" t="s">
        <v>25</v>
      </c>
      <c r="W37" s="1"/>
      <c r="X37" s="1"/>
      <c r="Y37" s="1"/>
      <c r="Z37" s="1"/>
      <c r="AA37" s="1"/>
    </row>
    <row r="38" spans="1:27" ht="15.75" x14ac:dyDescent="0.25">
      <c r="A38" s="80"/>
      <c r="B38" s="40"/>
      <c r="C38" s="16" t="s">
        <v>82</v>
      </c>
      <c r="D38" s="22">
        <v>1</v>
      </c>
      <c r="E38" s="22">
        <v>5</v>
      </c>
      <c r="F38" s="22" t="str">
        <f>MROUND(Démarrage!N15*0.8,(Démarrage!N21))&amp;"kg"</f>
        <v>0kg</v>
      </c>
      <c r="G38" s="18" t="s">
        <v>26</v>
      </c>
      <c r="H38" s="15" t="s">
        <v>32</v>
      </c>
      <c r="I38" s="23">
        <v>3</v>
      </c>
      <c r="J38" s="24" t="s">
        <v>33</v>
      </c>
      <c r="K38" s="23"/>
      <c r="L38" s="19"/>
      <c r="M38" s="15" t="s">
        <v>41</v>
      </c>
      <c r="N38" s="23">
        <v>3</v>
      </c>
      <c r="O38" s="24" t="s">
        <v>42</v>
      </c>
      <c r="P38" s="23" t="s">
        <v>30</v>
      </c>
      <c r="Q38" s="18" t="s">
        <v>26</v>
      </c>
      <c r="R38" s="81" t="s">
        <v>82</v>
      </c>
      <c r="S38" s="22">
        <v>1</v>
      </c>
      <c r="T38" s="22">
        <v>1</v>
      </c>
      <c r="U38" s="34" t="str">
        <f>MROUND(Démarrage!N15*0.9,(Démarrage!N21))&amp;"kg"</f>
        <v>0kg</v>
      </c>
      <c r="V38" s="38" t="s">
        <v>26</v>
      </c>
      <c r="W38" s="1"/>
      <c r="X38" s="1"/>
      <c r="Y38" s="1"/>
      <c r="Z38" s="1"/>
      <c r="AA38" s="1"/>
    </row>
    <row r="39" spans="1:27" x14ac:dyDescent="0.25">
      <c r="A39" s="1"/>
      <c r="B39" s="41"/>
      <c r="C39" s="25" t="str">
        <f>Démarrage!R16</f>
        <v>SDT Pausé</v>
      </c>
      <c r="D39" s="26" t="s">
        <v>52</v>
      </c>
      <c r="E39" s="27">
        <v>2</v>
      </c>
      <c r="F39" s="27" t="s">
        <v>58</v>
      </c>
      <c r="G39" s="28"/>
      <c r="H39" s="29" t="s">
        <v>34</v>
      </c>
      <c r="I39" s="30">
        <v>3</v>
      </c>
      <c r="J39" s="31" t="s">
        <v>33</v>
      </c>
      <c r="K39" s="30"/>
      <c r="L39" s="32"/>
      <c r="M39" s="29" t="s">
        <v>43</v>
      </c>
      <c r="N39" s="30">
        <v>3</v>
      </c>
      <c r="O39" s="31" t="s">
        <v>33</v>
      </c>
      <c r="P39" s="30"/>
      <c r="Q39" s="28"/>
      <c r="R39" s="82"/>
      <c r="S39" s="30">
        <f>IF(Démarrage!N49&gt;84,2,3)</f>
        <v>3</v>
      </c>
      <c r="T39" s="31" t="s">
        <v>39</v>
      </c>
      <c r="U39" s="35" t="str">
        <f>MROUND((Démarrage!N15*0.9)*0.85,(Démarrage!N21))&amp;"kg"</f>
        <v>0kg</v>
      </c>
      <c r="V39" s="39"/>
      <c r="W39" s="1"/>
      <c r="X39" s="1"/>
      <c r="Y39" s="1"/>
      <c r="Z39" s="1"/>
      <c r="AA39" s="1"/>
    </row>
    <row r="40" spans="1:27" ht="7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x14ac:dyDescent="0.25">
      <c r="A42" s="1"/>
      <c r="B42" s="40"/>
      <c r="C42" s="91" t="s">
        <v>74</v>
      </c>
      <c r="D42" s="92"/>
      <c r="E42" s="92"/>
      <c r="F42" s="92"/>
      <c r="G42" s="37"/>
      <c r="H42" s="91" t="s">
        <v>75</v>
      </c>
      <c r="I42" s="92"/>
      <c r="J42" s="92"/>
      <c r="K42" s="92"/>
      <c r="L42" s="14"/>
      <c r="M42" s="91" t="s">
        <v>76</v>
      </c>
      <c r="N42" s="92"/>
      <c r="O42" s="92"/>
      <c r="P42" s="92"/>
      <c r="Q42" s="37"/>
      <c r="R42" s="91" t="s">
        <v>77</v>
      </c>
      <c r="S42" s="92"/>
      <c r="T42" s="92"/>
      <c r="U42" s="92"/>
      <c r="V42" s="37"/>
      <c r="W42" s="1"/>
      <c r="X42" s="1"/>
      <c r="Y42" s="1"/>
      <c r="Z42" s="1"/>
      <c r="AA42" s="1"/>
    </row>
    <row r="43" spans="1:27" x14ac:dyDescent="0.25">
      <c r="A43" s="1"/>
      <c r="B43" s="40"/>
      <c r="C43" s="15" t="s">
        <v>15</v>
      </c>
      <c r="D43" s="23" t="s">
        <v>16</v>
      </c>
      <c r="E43" s="23" t="s">
        <v>17</v>
      </c>
      <c r="F43" s="23" t="s">
        <v>18</v>
      </c>
      <c r="G43" s="17"/>
      <c r="H43" s="15" t="s">
        <v>15</v>
      </c>
      <c r="I43" s="23" t="s">
        <v>16</v>
      </c>
      <c r="J43" s="23" t="s">
        <v>17</v>
      </c>
      <c r="K43" s="23" t="s">
        <v>18</v>
      </c>
      <c r="L43" s="19"/>
      <c r="M43" s="15" t="s">
        <v>15</v>
      </c>
      <c r="N43" s="23" t="s">
        <v>16</v>
      </c>
      <c r="O43" s="23" t="s">
        <v>17</v>
      </c>
      <c r="P43" s="23" t="s">
        <v>18</v>
      </c>
      <c r="Q43" s="17"/>
      <c r="R43" s="15" t="s">
        <v>15</v>
      </c>
      <c r="S43" s="23" t="s">
        <v>16</v>
      </c>
      <c r="T43" s="23" t="s">
        <v>17</v>
      </c>
      <c r="U43" s="33" t="s">
        <v>18</v>
      </c>
      <c r="V43" s="36"/>
      <c r="W43" s="1"/>
      <c r="X43" s="1"/>
      <c r="Y43" s="1"/>
      <c r="Z43" s="1"/>
      <c r="AA43" s="1"/>
    </row>
    <row r="44" spans="1:27" ht="15.75" x14ac:dyDescent="0.25">
      <c r="A44" s="1"/>
      <c r="B44" s="40"/>
      <c r="C44" s="81" t="s">
        <v>1</v>
      </c>
      <c r="D44" s="22">
        <v>1</v>
      </c>
      <c r="E44" s="22">
        <v>4</v>
      </c>
      <c r="F44" s="22" t="str">
        <f>MROUND(Démarrage!N13*0.825,(Démarrage!N21))&amp;"kg"</f>
        <v>0kg</v>
      </c>
      <c r="G44" s="18" t="s">
        <v>22</v>
      </c>
      <c r="H44" s="16" t="str">
        <f>Démarrage!W19</f>
        <v>Squat Barre Haute</v>
      </c>
      <c r="I44" s="22" t="str">
        <f>IF(Démarrage!N27="Femme","3","2")</f>
        <v>2</v>
      </c>
      <c r="J44" s="22">
        <v>3</v>
      </c>
      <c r="K44" s="22" t="str">
        <f>MROUND(Démarrage!N13*0.725,(Démarrage!N21))&amp;"kg"</f>
        <v>0kg</v>
      </c>
      <c r="L44" s="19"/>
      <c r="M44" s="81" t="s">
        <v>44</v>
      </c>
      <c r="N44" s="22">
        <v>1</v>
      </c>
      <c r="O44" s="22">
        <v>1</v>
      </c>
      <c r="P44" s="22" t="str">
        <f>MROUND(Démarrage!N14*0.825,(Démarrage!N21))&amp;"kg"</f>
        <v>0kg</v>
      </c>
      <c r="Q44" s="18" t="s">
        <v>22</v>
      </c>
      <c r="R44" s="81" t="s">
        <v>1</v>
      </c>
      <c r="S44" s="22">
        <v>1</v>
      </c>
      <c r="T44" s="46" t="s">
        <v>79</v>
      </c>
      <c r="U44" s="34" t="str">
        <f>MROUND(Démarrage!N13*0.925,(Démarrage!N21))&amp;"kg"</f>
        <v>0kg</v>
      </c>
      <c r="V44" s="38" t="s">
        <v>22</v>
      </c>
      <c r="W44" s="1"/>
      <c r="X44" s="1"/>
      <c r="Y44" s="1"/>
      <c r="Z44" s="1"/>
      <c r="AA44" s="1"/>
    </row>
    <row r="45" spans="1:27" ht="15.75" x14ac:dyDescent="0.25">
      <c r="A45" s="1"/>
      <c r="B45" s="40"/>
      <c r="C45" s="81"/>
      <c r="D45" s="22">
        <v>3</v>
      </c>
      <c r="E45" s="22">
        <v>4</v>
      </c>
      <c r="F45" s="22" t="str">
        <f>MROUND((Démarrage!N13*0.825)*0.9,(Démarrage!N21))&amp;"kg"</f>
        <v>0kg</v>
      </c>
      <c r="G45" s="18" t="s">
        <v>23</v>
      </c>
      <c r="H45" s="83" t="str">
        <f>Démarrage!W22</f>
        <v>Larsen Press prise moyenne</v>
      </c>
      <c r="I45" s="24" t="s">
        <v>29</v>
      </c>
      <c r="J45" s="23">
        <v>6</v>
      </c>
      <c r="K45" s="23" t="s">
        <v>30</v>
      </c>
      <c r="L45" s="19"/>
      <c r="M45" s="81"/>
      <c r="N45" s="22">
        <v>3</v>
      </c>
      <c r="O45" s="22">
        <f>IF(Démarrage!N17="Femme",4,3)</f>
        <v>3</v>
      </c>
      <c r="P45" s="22" t="str">
        <f>MROUND(Démarrage!N14*0.725,(Démarrage!N21))&amp;"kg"</f>
        <v>0kg</v>
      </c>
      <c r="Q45" s="18" t="s">
        <v>23</v>
      </c>
      <c r="R45" s="81"/>
      <c r="S45" s="22" t="s">
        <v>80</v>
      </c>
      <c r="T45" s="22" t="s">
        <v>78</v>
      </c>
      <c r="U45" s="34" t="s">
        <v>2</v>
      </c>
      <c r="V45" s="38" t="s">
        <v>23</v>
      </c>
      <c r="W45" s="1"/>
      <c r="X45" s="1"/>
      <c r="Y45" s="1"/>
      <c r="Z45" s="1"/>
      <c r="AA45" s="1"/>
    </row>
    <row r="46" spans="1:27" ht="15.75" x14ac:dyDescent="0.25">
      <c r="A46" s="1"/>
      <c r="B46" s="40"/>
      <c r="C46" s="84" t="s">
        <v>19</v>
      </c>
      <c r="D46" s="23">
        <v>1</v>
      </c>
      <c r="E46" s="23">
        <v>4</v>
      </c>
      <c r="F46" s="23" t="str">
        <f>MROUND(Démarrage!N14*0.825,(Démarrage!N21))&amp;"kg"</f>
        <v>0kg</v>
      </c>
      <c r="G46" s="18" t="s">
        <v>24</v>
      </c>
      <c r="H46" s="83"/>
      <c r="I46" s="23" t="str">
        <f>IF(Démarrage!N19&gt;84,1,"1-2")</f>
        <v>1-2</v>
      </c>
      <c r="J46" s="23" t="str">
        <f>IF(Démarrage!N17="Femme","8","6")</f>
        <v>6</v>
      </c>
      <c r="K46" s="47">
        <v>-0.1</v>
      </c>
      <c r="L46" s="20"/>
      <c r="M46" s="21" t="s">
        <v>81</v>
      </c>
      <c r="N46" s="11" t="s">
        <v>35</v>
      </c>
      <c r="O46" s="7">
        <v>5</v>
      </c>
      <c r="P46" s="7" t="s">
        <v>53</v>
      </c>
      <c r="Q46" s="18" t="s">
        <v>24</v>
      </c>
      <c r="R46" s="84" t="s">
        <v>19</v>
      </c>
      <c r="S46" s="23">
        <v>1</v>
      </c>
      <c r="T46" s="24" t="s">
        <v>79</v>
      </c>
      <c r="U46" s="33" t="str">
        <f>MROUND(Démarrage!N14*0.925,(Démarrage!N21))&amp;"kg"</f>
        <v>0kg</v>
      </c>
      <c r="V46" s="38" t="s">
        <v>24</v>
      </c>
      <c r="W46" s="1"/>
      <c r="X46" s="1"/>
      <c r="Y46" s="1"/>
      <c r="Z46" s="1"/>
      <c r="AA46" s="1"/>
    </row>
    <row r="47" spans="1:27" ht="15.75" x14ac:dyDescent="0.25">
      <c r="A47" s="79" t="s">
        <v>73</v>
      </c>
      <c r="B47" s="40"/>
      <c r="C47" s="84"/>
      <c r="D47" s="23" t="str">
        <f>IF(Démarrage!N17="Femme","4-5","4")</f>
        <v>4</v>
      </c>
      <c r="E47" s="23">
        <v>4</v>
      </c>
      <c r="F47" s="23" t="str">
        <f>MROUND((Démarrage!N14*0.825)*0.9,(Démarrage!N21))&amp;"kg"</f>
        <v>0kg</v>
      </c>
      <c r="G47" s="18" t="s">
        <v>25</v>
      </c>
      <c r="H47" s="16" t="s">
        <v>31</v>
      </c>
      <c r="I47" s="22">
        <v>4</v>
      </c>
      <c r="J47" s="22">
        <v>12</v>
      </c>
      <c r="K47" s="48" t="s">
        <v>30</v>
      </c>
      <c r="L47" s="20"/>
      <c r="M47" s="16" t="s">
        <v>40</v>
      </c>
      <c r="N47" s="22">
        <v>3</v>
      </c>
      <c r="O47" s="22">
        <v>10</v>
      </c>
      <c r="P47" s="48" t="s">
        <v>30</v>
      </c>
      <c r="Q47" s="18" t="s">
        <v>25</v>
      </c>
      <c r="R47" s="84"/>
      <c r="S47" s="23" t="s">
        <v>80</v>
      </c>
      <c r="T47" s="23" t="s">
        <v>78</v>
      </c>
      <c r="U47" s="33" t="s">
        <v>2</v>
      </c>
      <c r="V47" s="38" t="s">
        <v>25</v>
      </c>
      <c r="W47" s="1"/>
      <c r="X47" s="1"/>
      <c r="Y47" s="1"/>
      <c r="Z47" s="1"/>
      <c r="AA47" s="1"/>
    </row>
    <row r="48" spans="1:27" ht="15.75" x14ac:dyDescent="0.25">
      <c r="A48" s="80"/>
      <c r="B48" s="40"/>
      <c r="C48" s="16" t="s">
        <v>82</v>
      </c>
      <c r="D48" s="22">
        <v>1</v>
      </c>
      <c r="E48" s="22">
        <v>4</v>
      </c>
      <c r="F48" s="22" t="str">
        <f>MROUND(Démarrage!N15*0.825,(Démarrage!N21))&amp;"kg"</f>
        <v>0kg</v>
      </c>
      <c r="G48" s="18" t="s">
        <v>26</v>
      </c>
      <c r="H48" s="15" t="s">
        <v>32</v>
      </c>
      <c r="I48" s="23">
        <v>3</v>
      </c>
      <c r="J48" s="24" t="s">
        <v>33</v>
      </c>
      <c r="K48" s="23"/>
      <c r="L48" s="19"/>
      <c r="M48" s="15" t="s">
        <v>41</v>
      </c>
      <c r="N48" s="23">
        <v>3</v>
      </c>
      <c r="O48" s="24" t="s">
        <v>42</v>
      </c>
      <c r="P48" s="23" t="s">
        <v>30</v>
      </c>
      <c r="Q48" s="18" t="s">
        <v>26</v>
      </c>
      <c r="R48" s="81" t="s">
        <v>82</v>
      </c>
      <c r="S48" s="22">
        <v>1</v>
      </c>
      <c r="T48" s="46" t="s">
        <v>79</v>
      </c>
      <c r="U48" s="34" t="str">
        <f>MROUND(Démarrage!N15*0.925,(Démarrage!N21))&amp;"kg"</f>
        <v>0kg</v>
      </c>
      <c r="V48" s="38" t="s">
        <v>26</v>
      </c>
      <c r="W48" s="1"/>
      <c r="X48" s="1"/>
      <c r="Y48" s="1"/>
      <c r="Z48" s="1"/>
      <c r="AA48" s="1"/>
    </row>
    <row r="49" spans="1:27" x14ac:dyDescent="0.25">
      <c r="A49" s="1"/>
      <c r="B49" s="41"/>
      <c r="C49" s="25" t="str">
        <f>Démarrage!R16</f>
        <v>SDT Pausé</v>
      </c>
      <c r="D49" s="26" t="s">
        <v>39</v>
      </c>
      <c r="E49" s="27">
        <v>2</v>
      </c>
      <c r="F49" s="27" t="s">
        <v>57</v>
      </c>
      <c r="G49" s="28"/>
      <c r="H49" s="29" t="s">
        <v>34</v>
      </c>
      <c r="I49" s="30">
        <v>3</v>
      </c>
      <c r="J49" s="31" t="s">
        <v>33</v>
      </c>
      <c r="K49" s="30"/>
      <c r="L49" s="32"/>
      <c r="M49" s="29" t="s">
        <v>43</v>
      </c>
      <c r="N49" s="30">
        <v>3</v>
      </c>
      <c r="O49" s="31" t="s">
        <v>33</v>
      </c>
      <c r="P49" s="30"/>
      <c r="Q49" s="28"/>
      <c r="R49" s="82"/>
      <c r="S49" s="30" t="s">
        <v>80</v>
      </c>
      <c r="T49" s="30" t="s">
        <v>78</v>
      </c>
      <c r="U49" s="35" t="s">
        <v>2</v>
      </c>
      <c r="V49" s="39"/>
      <c r="W49" s="1"/>
      <c r="X49" s="1"/>
      <c r="Y49" s="1"/>
      <c r="Z49" s="1"/>
      <c r="AA49" s="1"/>
    </row>
    <row r="50" spans="1:2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idden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idden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idden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idden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idden="1" x14ac:dyDescent="0.25">
      <c r="A56" s="1"/>
      <c r="B56" s="1"/>
      <c r="C56" s="1"/>
      <c r="D56" s="1"/>
      <c r="E56" s="1"/>
      <c r="F56" s="1"/>
      <c r="G56" s="1"/>
      <c r="H56" s="49"/>
      <c r="I56" s="49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idden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idden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idden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idden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idden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idden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idden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idden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idden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idden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idden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idden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idden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idden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idden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idden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</sheetData>
  <mergeCells count="60">
    <mergeCell ref="C2:F2"/>
    <mergeCell ref="H2:K2"/>
    <mergeCell ref="M2:P2"/>
    <mergeCell ref="R2:U2"/>
    <mergeCell ref="C4:C5"/>
    <mergeCell ref="M4:M5"/>
    <mergeCell ref="R4:R5"/>
    <mergeCell ref="H5:H6"/>
    <mergeCell ref="C6:C7"/>
    <mergeCell ref="R6:R7"/>
    <mergeCell ref="A7:A8"/>
    <mergeCell ref="R8:R9"/>
    <mergeCell ref="C12:F12"/>
    <mergeCell ref="H12:K12"/>
    <mergeCell ref="M12:P12"/>
    <mergeCell ref="R12:U12"/>
    <mergeCell ref="C14:C15"/>
    <mergeCell ref="M14:M15"/>
    <mergeCell ref="R14:R15"/>
    <mergeCell ref="H15:H16"/>
    <mergeCell ref="C16:C17"/>
    <mergeCell ref="R16:R17"/>
    <mergeCell ref="A17:A18"/>
    <mergeCell ref="R18:R19"/>
    <mergeCell ref="C22:F22"/>
    <mergeCell ref="H22:K22"/>
    <mergeCell ref="M22:P22"/>
    <mergeCell ref="R22:U22"/>
    <mergeCell ref="C24:C25"/>
    <mergeCell ref="M24:M25"/>
    <mergeCell ref="R24:R25"/>
    <mergeCell ref="H25:H26"/>
    <mergeCell ref="C26:C27"/>
    <mergeCell ref="R26:R27"/>
    <mergeCell ref="A27:A28"/>
    <mergeCell ref="R28:R29"/>
    <mergeCell ref="C32:F32"/>
    <mergeCell ref="H32:K32"/>
    <mergeCell ref="M32:P32"/>
    <mergeCell ref="R32:U32"/>
    <mergeCell ref="C34:C35"/>
    <mergeCell ref="M34:M35"/>
    <mergeCell ref="R34:R35"/>
    <mergeCell ref="H35:H36"/>
    <mergeCell ref="C36:C37"/>
    <mergeCell ref="R36:R37"/>
    <mergeCell ref="A37:A38"/>
    <mergeCell ref="R38:R39"/>
    <mergeCell ref="C42:F42"/>
    <mergeCell ref="H42:K42"/>
    <mergeCell ref="M42:P42"/>
    <mergeCell ref="R42:U42"/>
    <mergeCell ref="A47:A48"/>
    <mergeCell ref="R48:R49"/>
    <mergeCell ref="C44:C45"/>
    <mergeCell ref="M44:M45"/>
    <mergeCell ref="R44:R45"/>
    <mergeCell ref="H45:H46"/>
    <mergeCell ref="C46:C47"/>
    <mergeCell ref="R46:R47"/>
  </mergeCells>
  <pageMargins left="0.7" right="0.7" top="0.75" bottom="0.75" header="0.3" footer="0.3"/>
  <ignoredErrors>
    <ignoredError sqref="I5 I15 I25 I35 I45 O48 O38 O28 O18 O8 T9 T19 T29 T39 N16 N26 N36 N46 D49 N6" numberStoredAsText="1"/>
    <ignoredError sqref="J8:J9 J18:J19 J28:J29 J38:J39 J48:J49 O49 O39 O29 O19 O9" twoDigitTextYear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2"/>
  <sheetViews>
    <sheetView showGridLines="0" workbookViewId="0">
      <selection activeCell="R42" sqref="R42:U42"/>
    </sheetView>
  </sheetViews>
  <sheetFormatPr baseColWidth="10" defaultColWidth="0" defaultRowHeight="15" zeroHeight="1" x14ac:dyDescent="0.25"/>
  <cols>
    <col min="1" max="1" width="22.85546875" customWidth="1"/>
    <col min="2" max="2" width="0.7109375" customWidth="1"/>
    <col min="3" max="3" width="20" customWidth="1"/>
    <col min="4" max="5" width="7.85546875" customWidth="1"/>
    <col min="6" max="6" width="10" customWidth="1"/>
    <col min="7" max="7" width="7.140625" customWidth="1"/>
    <col min="8" max="8" width="20" customWidth="1"/>
    <col min="9" max="10" width="7.85546875" customWidth="1"/>
    <col min="11" max="11" width="10" customWidth="1"/>
    <col min="12" max="12" width="0.5703125" customWidth="1"/>
    <col min="13" max="13" width="20" customWidth="1"/>
    <col min="14" max="15" width="7.85546875" customWidth="1"/>
    <col min="16" max="16" width="10" customWidth="1"/>
    <col min="17" max="17" width="7.140625" customWidth="1"/>
    <col min="18" max="18" width="20" customWidth="1"/>
    <col min="19" max="20" width="7.85546875" customWidth="1"/>
    <col min="21" max="21" width="10" customWidth="1"/>
    <col min="22" max="22" width="7.140625" customWidth="1"/>
    <col min="23" max="23" width="0.7109375" customWidth="1"/>
    <col min="24" max="27" width="11.42578125" customWidth="1"/>
    <col min="28" max="16384" width="11.42578125" hidden="1"/>
  </cols>
  <sheetData>
    <row r="1" spans="1:27" ht="11.2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"/>
      <c r="B2" s="40"/>
      <c r="C2" s="91" t="s">
        <v>14</v>
      </c>
      <c r="D2" s="92"/>
      <c r="E2" s="92"/>
      <c r="F2" s="92"/>
      <c r="G2" s="37"/>
      <c r="H2" s="93" t="s">
        <v>27</v>
      </c>
      <c r="I2" s="94"/>
      <c r="J2" s="94"/>
      <c r="K2" s="94"/>
      <c r="L2" s="14"/>
      <c r="M2" s="91" t="s">
        <v>36</v>
      </c>
      <c r="N2" s="92"/>
      <c r="O2" s="92"/>
      <c r="P2" s="92"/>
      <c r="Q2" s="37"/>
      <c r="R2" s="91" t="s">
        <v>45</v>
      </c>
      <c r="S2" s="92"/>
      <c r="T2" s="92"/>
      <c r="U2" s="92"/>
      <c r="V2" s="37"/>
      <c r="W2" s="1"/>
      <c r="X2" s="1"/>
      <c r="Y2" s="1"/>
      <c r="Z2" s="1"/>
      <c r="AA2" s="1"/>
    </row>
    <row r="3" spans="1:27" x14ac:dyDescent="0.25">
      <c r="A3" s="1"/>
      <c r="B3" s="40"/>
      <c r="C3" s="15" t="s">
        <v>15</v>
      </c>
      <c r="D3" s="7" t="s">
        <v>16</v>
      </c>
      <c r="E3" s="7" t="s">
        <v>17</v>
      </c>
      <c r="F3" s="7" t="s">
        <v>18</v>
      </c>
      <c r="G3" s="17"/>
      <c r="H3" s="15" t="s">
        <v>15</v>
      </c>
      <c r="I3" s="7" t="s">
        <v>16</v>
      </c>
      <c r="J3" s="7" t="s">
        <v>17</v>
      </c>
      <c r="K3" s="7" t="s">
        <v>18</v>
      </c>
      <c r="L3" s="19"/>
      <c r="M3" s="15" t="s">
        <v>15</v>
      </c>
      <c r="N3" s="7" t="s">
        <v>16</v>
      </c>
      <c r="O3" s="7" t="s">
        <v>17</v>
      </c>
      <c r="P3" s="7" t="s">
        <v>18</v>
      </c>
      <c r="Q3" s="17"/>
      <c r="R3" s="15" t="s">
        <v>15</v>
      </c>
      <c r="S3" s="7" t="s">
        <v>16</v>
      </c>
      <c r="T3" s="7" t="s">
        <v>17</v>
      </c>
      <c r="U3" s="33" t="s">
        <v>18</v>
      </c>
      <c r="V3" s="36"/>
      <c r="W3" s="1"/>
      <c r="X3" s="1"/>
      <c r="Y3" s="1"/>
      <c r="Z3" s="1"/>
      <c r="AA3" s="1"/>
    </row>
    <row r="4" spans="1:27" ht="15.75" x14ac:dyDescent="0.25">
      <c r="A4" s="1"/>
      <c r="B4" s="40"/>
      <c r="C4" s="81" t="s">
        <v>1</v>
      </c>
      <c r="D4" s="6">
        <v>1</v>
      </c>
      <c r="E4" s="6">
        <v>8</v>
      </c>
      <c r="F4" s="6" t="str">
        <f>MROUND(Démarrage!N13*0.725,(Démarrage!N21))&amp;"kg"</f>
        <v>0kg</v>
      </c>
      <c r="G4" s="18" t="s">
        <v>22</v>
      </c>
      <c r="H4" s="16" t="str">
        <f>Démarrage!W19</f>
        <v>Squat Barre Haute</v>
      </c>
      <c r="I4" s="22" t="str">
        <f>IF(Démarrage!N17="Femme","4-5","3-4")</f>
        <v>3-4</v>
      </c>
      <c r="J4" s="6">
        <v>6</v>
      </c>
      <c r="K4" s="6" t="str">
        <f>MROUND(Démarrage!N13*0.625,(Démarrage!N21))&amp;"kg"</f>
        <v>0kg</v>
      </c>
      <c r="L4" s="19"/>
      <c r="M4" s="81" t="s">
        <v>44</v>
      </c>
      <c r="N4" s="6">
        <v>1</v>
      </c>
      <c r="O4" s="6">
        <v>2</v>
      </c>
      <c r="P4" s="6" t="str">
        <f>MROUND(Démarrage!N14*0.8,(Démarrage!N21))&amp;"kg"</f>
        <v>0kg</v>
      </c>
      <c r="Q4" s="18" t="s">
        <v>22</v>
      </c>
      <c r="R4" s="81" t="s">
        <v>1</v>
      </c>
      <c r="S4" s="6">
        <v>1</v>
      </c>
      <c r="T4" s="6">
        <v>4</v>
      </c>
      <c r="U4" s="34" t="str">
        <f>MROUND(Démarrage!N13*0.825,(Démarrage!N21))&amp;"kg"</f>
        <v>0kg</v>
      </c>
      <c r="V4" s="38" t="s">
        <v>22</v>
      </c>
      <c r="W4" s="1"/>
      <c r="X4" s="1"/>
      <c r="Y4" s="1"/>
      <c r="Z4" s="1"/>
      <c r="AA4" s="1"/>
    </row>
    <row r="5" spans="1:27" ht="15.75" x14ac:dyDescent="0.25">
      <c r="A5" s="1"/>
      <c r="B5" s="40"/>
      <c r="C5" s="81"/>
      <c r="D5" s="6">
        <v>3</v>
      </c>
      <c r="E5" s="6">
        <v>8</v>
      </c>
      <c r="F5" s="6" t="str">
        <f>MROUND((Démarrage!N13*0.725)*0.9,(Démarrage!N21))&amp;"kg"</f>
        <v>0kg</v>
      </c>
      <c r="G5" s="18" t="s">
        <v>23</v>
      </c>
      <c r="H5" s="83" t="str">
        <f>Démarrage!W22</f>
        <v>Larsen Press prise moyenne</v>
      </c>
      <c r="I5" s="11" t="s">
        <v>29</v>
      </c>
      <c r="J5" s="7">
        <v>10</v>
      </c>
      <c r="K5" s="7" t="s">
        <v>30</v>
      </c>
      <c r="L5" s="19"/>
      <c r="M5" s="81"/>
      <c r="N5" s="6">
        <v>3</v>
      </c>
      <c r="O5" s="22">
        <f>IF(Démarrage!N17="Femme",8,7)</f>
        <v>7</v>
      </c>
      <c r="P5" s="6" t="str">
        <f>MROUND(Démarrage!N14*0.625,(Démarrage!N21))&amp;"kg"</f>
        <v>0kg</v>
      </c>
      <c r="Q5" s="18" t="s">
        <v>23</v>
      </c>
      <c r="R5" s="81"/>
      <c r="S5" s="6">
        <v>3</v>
      </c>
      <c r="T5" s="6">
        <v>5</v>
      </c>
      <c r="U5" s="34" t="str">
        <f>MROUND((Démarrage!N13*0.825)*0.875,(Démarrage!N21))&amp;"kg"</f>
        <v>0kg</v>
      </c>
      <c r="V5" s="38" t="s">
        <v>23</v>
      </c>
      <c r="W5" s="1"/>
      <c r="X5" s="1"/>
      <c r="Y5" s="1"/>
      <c r="Z5" s="1"/>
      <c r="AA5" s="1"/>
    </row>
    <row r="6" spans="1:27" ht="15.75" x14ac:dyDescent="0.25">
      <c r="A6" s="1"/>
      <c r="B6" s="40"/>
      <c r="C6" s="84" t="s">
        <v>19</v>
      </c>
      <c r="D6" s="7">
        <v>1</v>
      </c>
      <c r="E6" s="7">
        <v>8</v>
      </c>
      <c r="F6" s="7" t="str">
        <f>MROUND(Démarrage!N14*0.725,(Démarrage!N21))&amp;"kg"</f>
        <v>0kg</v>
      </c>
      <c r="G6" s="18" t="s">
        <v>24</v>
      </c>
      <c r="H6" s="83"/>
      <c r="I6" s="23" t="str">
        <f>IF(Démarrage!N19&gt;84,2,"3")</f>
        <v>3</v>
      </c>
      <c r="J6" s="23" t="str">
        <f>IF(Démarrage!N17="Femme","12","10")</f>
        <v>10</v>
      </c>
      <c r="K6" s="12">
        <v>-0.1</v>
      </c>
      <c r="L6" s="20"/>
      <c r="M6" s="21" t="s">
        <v>37</v>
      </c>
      <c r="N6" s="11" t="s">
        <v>38</v>
      </c>
      <c r="O6" s="7">
        <v>4</v>
      </c>
      <c r="P6" s="7" t="str">
        <f>MROUND(Démarrage!N15*0.68,(Démarrage!N21))&amp;"kg"</f>
        <v>0kg</v>
      </c>
      <c r="Q6" s="18" t="s">
        <v>24</v>
      </c>
      <c r="R6" s="84" t="s">
        <v>19</v>
      </c>
      <c r="S6" s="7">
        <v>1</v>
      </c>
      <c r="T6" s="7">
        <v>4</v>
      </c>
      <c r="U6" s="33" t="str">
        <f>MROUND(Démarrage!N14*0.825,(Démarrage!N21))&amp;"kg"</f>
        <v>0kg</v>
      </c>
      <c r="V6" s="38" t="s">
        <v>24</v>
      </c>
      <c r="W6" s="1"/>
      <c r="X6" s="1"/>
      <c r="Y6" s="1"/>
      <c r="Z6" s="1"/>
      <c r="AA6" s="1"/>
    </row>
    <row r="7" spans="1:27" ht="15.75" x14ac:dyDescent="0.25">
      <c r="A7" s="79" t="s">
        <v>21</v>
      </c>
      <c r="B7" s="40"/>
      <c r="C7" s="84"/>
      <c r="D7" s="23" t="str">
        <f>IF(Démarrage!N17="Femme","4-5","4")</f>
        <v>4</v>
      </c>
      <c r="E7" s="7">
        <v>8</v>
      </c>
      <c r="F7" s="7" t="str">
        <f>MROUND((Démarrage!N14*0.725)*0.9,(Démarrage!N21))&amp;"kg"</f>
        <v>0kg</v>
      </c>
      <c r="G7" s="18" t="s">
        <v>25</v>
      </c>
      <c r="H7" s="16" t="s">
        <v>31</v>
      </c>
      <c r="I7" s="6">
        <v>5</v>
      </c>
      <c r="J7" s="6">
        <v>12</v>
      </c>
      <c r="K7" s="13" t="s">
        <v>30</v>
      </c>
      <c r="L7" s="20"/>
      <c r="M7" s="16" t="s">
        <v>40</v>
      </c>
      <c r="N7" s="6">
        <v>5</v>
      </c>
      <c r="O7" s="6">
        <v>10</v>
      </c>
      <c r="P7" s="13" t="s">
        <v>30</v>
      </c>
      <c r="Q7" s="18" t="s">
        <v>25</v>
      </c>
      <c r="R7" s="84"/>
      <c r="S7" s="23">
        <f>IF(Démarrage!N19&gt;84,3,4)</f>
        <v>4</v>
      </c>
      <c r="T7" s="7">
        <v>5</v>
      </c>
      <c r="U7" s="33" t="str">
        <f>MROUND((Démarrage!N14*0.825)*0.875,(Démarrage!N21))&amp;"kg"</f>
        <v>0kg</v>
      </c>
      <c r="V7" s="38" t="s">
        <v>25</v>
      </c>
      <c r="W7" s="1"/>
      <c r="X7" s="1"/>
      <c r="Y7" s="1"/>
      <c r="Z7" s="1"/>
      <c r="AA7" s="1"/>
    </row>
    <row r="8" spans="1:27" ht="15.75" x14ac:dyDescent="0.25">
      <c r="A8" s="80"/>
      <c r="B8" s="40"/>
      <c r="C8" s="16" t="s">
        <v>20</v>
      </c>
      <c r="D8" s="22">
        <v>1</v>
      </c>
      <c r="E8" s="22">
        <v>8</v>
      </c>
      <c r="F8" s="22" t="str">
        <f>MROUND(Démarrage!N15*0.725,(Démarrage!N21))&amp;"kg"</f>
        <v>0kg</v>
      </c>
      <c r="G8" s="18" t="s">
        <v>26</v>
      </c>
      <c r="H8" s="15" t="s">
        <v>32</v>
      </c>
      <c r="I8" s="23">
        <v>4</v>
      </c>
      <c r="J8" s="24" t="s">
        <v>33</v>
      </c>
      <c r="K8" s="23"/>
      <c r="L8" s="19"/>
      <c r="M8" s="15" t="s">
        <v>41</v>
      </c>
      <c r="N8" s="23">
        <v>5</v>
      </c>
      <c r="O8" s="24" t="s">
        <v>42</v>
      </c>
      <c r="P8" s="23" t="s">
        <v>30</v>
      </c>
      <c r="Q8" s="18" t="s">
        <v>26</v>
      </c>
      <c r="R8" s="81" t="s">
        <v>20</v>
      </c>
      <c r="S8" s="22">
        <v>1</v>
      </c>
      <c r="T8" s="22">
        <v>4</v>
      </c>
      <c r="U8" s="34" t="str">
        <f>MROUND(Démarrage!N15*0.825,(Démarrage!N21))&amp;"kg"</f>
        <v>0kg</v>
      </c>
      <c r="V8" s="38" t="s">
        <v>26</v>
      </c>
      <c r="W8" s="1"/>
      <c r="X8" s="1"/>
      <c r="Y8" s="1"/>
      <c r="Z8" s="1"/>
      <c r="AA8" s="1"/>
    </row>
    <row r="9" spans="1:27" x14ac:dyDescent="0.25">
      <c r="A9" s="1"/>
      <c r="B9" s="41"/>
      <c r="C9" s="25" t="str">
        <f>Démarrage!W16</f>
        <v>Sumo Pausé</v>
      </c>
      <c r="D9" s="26" t="s">
        <v>28</v>
      </c>
      <c r="E9" s="27">
        <v>4</v>
      </c>
      <c r="F9" s="27" t="s">
        <v>53</v>
      </c>
      <c r="G9" s="28"/>
      <c r="H9" s="29" t="s">
        <v>34</v>
      </c>
      <c r="I9" s="30">
        <v>4</v>
      </c>
      <c r="J9" s="31" t="s">
        <v>33</v>
      </c>
      <c r="K9" s="30"/>
      <c r="L9" s="32"/>
      <c r="M9" s="29" t="s">
        <v>43</v>
      </c>
      <c r="N9" s="30">
        <v>3</v>
      </c>
      <c r="O9" s="31" t="s">
        <v>33</v>
      </c>
      <c r="P9" s="30"/>
      <c r="Q9" s="28"/>
      <c r="R9" s="82"/>
      <c r="S9" s="30">
        <f>IF(Démarrage!N19&gt;84,2,3)</f>
        <v>3</v>
      </c>
      <c r="T9" s="31" t="s">
        <v>67</v>
      </c>
      <c r="U9" s="35" t="str">
        <f>MROUND((Démarrage!N15*0.825)*0.85,(Démarrage!N21))&amp;"kg"</f>
        <v>0kg</v>
      </c>
      <c r="V9" s="39"/>
      <c r="W9" s="1"/>
      <c r="X9" s="1"/>
      <c r="Y9" s="1"/>
      <c r="Z9" s="1"/>
      <c r="AA9" s="1"/>
    </row>
    <row r="10" spans="1:27" ht="7.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40"/>
      <c r="C12" s="91" t="s">
        <v>47</v>
      </c>
      <c r="D12" s="92"/>
      <c r="E12" s="92"/>
      <c r="F12" s="92"/>
      <c r="G12" s="37"/>
      <c r="H12" s="91" t="s">
        <v>48</v>
      </c>
      <c r="I12" s="92"/>
      <c r="J12" s="92"/>
      <c r="K12" s="92"/>
      <c r="L12" s="14"/>
      <c r="M12" s="91" t="s">
        <v>49</v>
      </c>
      <c r="N12" s="92"/>
      <c r="O12" s="92"/>
      <c r="P12" s="92"/>
      <c r="Q12" s="37"/>
      <c r="R12" s="91" t="s">
        <v>50</v>
      </c>
      <c r="S12" s="92"/>
      <c r="T12" s="92"/>
      <c r="U12" s="92"/>
      <c r="V12" s="37"/>
      <c r="W12" s="1"/>
      <c r="X12" s="1"/>
      <c r="Y12" s="1"/>
      <c r="Z12" s="1"/>
      <c r="AA12" s="1"/>
    </row>
    <row r="13" spans="1:27" x14ac:dyDescent="0.25">
      <c r="A13" s="1"/>
      <c r="B13" s="40"/>
      <c r="C13" s="15" t="s">
        <v>15</v>
      </c>
      <c r="D13" s="7" t="s">
        <v>16</v>
      </c>
      <c r="E13" s="7" t="s">
        <v>17</v>
      </c>
      <c r="F13" s="7" t="s">
        <v>18</v>
      </c>
      <c r="G13" s="17"/>
      <c r="H13" s="15" t="s">
        <v>15</v>
      </c>
      <c r="I13" s="7" t="s">
        <v>16</v>
      </c>
      <c r="J13" s="7" t="s">
        <v>17</v>
      </c>
      <c r="K13" s="7" t="s">
        <v>18</v>
      </c>
      <c r="L13" s="19"/>
      <c r="M13" s="15" t="s">
        <v>15</v>
      </c>
      <c r="N13" s="7" t="s">
        <v>16</v>
      </c>
      <c r="O13" s="7" t="s">
        <v>17</v>
      </c>
      <c r="P13" s="7" t="s">
        <v>18</v>
      </c>
      <c r="Q13" s="17"/>
      <c r="R13" s="15" t="s">
        <v>15</v>
      </c>
      <c r="S13" s="7" t="s">
        <v>16</v>
      </c>
      <c r="T13" s="7" t="s">
        <v>17</v>
      </c>
      <c r="U13" s="33" t="s">
        <v>18</v>
      </c>
      <c r="V13" s="36"/>
      <c r="W13" s="1"/>
      <c r="X13" s="1"/>
      <c r="Y13" s="1"/>
      <c r="Z13" s="1"/>
      <c r="AA13" s="1"/>
    </row>
    <row r="14" spans="1:27" ht="15.75" x14ac:dyDescent="0.25">
      <c r="A14" s="1"/>
      <c r="B14" s="40"/>
      <c r="C14" s="81" t="s">
        <v>1</v>
      </c>
      <c r="D14" s="6">
        <v>1</v>
      </c>
      <c r="E14" s="6">
        <v>7</v>
      </c>
      <c r="F14" s="6" t="str">
        <f>MROUND(Démarrage!N13*0.75,(Démarrage!N21))&amp;"kg"</f>
        <v>0kg</v>
      </c>
      <c r="G14" s="18" t="s">
        <v>22</v>
      </c>
      <c r="H14" s="16" t="str">
        <f>Démarrage!W19</f>
        <v>Squat Barre Haute</v>
      </c>
      <c r="I14" s="22" t="str">
        <f>IF(Démarrage!N17="Femme","4","3")</f>
        <v>3</v>
      </c>
      <c r="J14" s="6">
        <v>6</v>
      </c>
      <c r="K14" s="6" t="str">
        <f>MROUND(Démarrage!N13*0.65,(Démarrage!N21))&amp;"kg"</f>
        <v>0kg</v>
      </c>
      <c r="L14" s="19"/>
      <c r="M14" s="81" t="s">
        <v>44</v>
      </c>
      <c r="N14" s="6">
        <v>1</v>
      </c>
      <c r="O14" s="6">
        <v>2</v>
      </c>
      <c r="P14" s="6" t="str">
        <f>MROUND(Démarrage!N14*0.825,(Démarrage!N21))&amp;"kg"</f>
        <v>0kg</v>
      </c>
      <c r="Q14" s="18" t="s">
        <v>22</v>
      </c>
      <c r="R14" s="81" t="s">
        <v>1</v>
      </c>
      <c r="S14" s="6">
        <v>1</v>
      </c>
      <c r="T14" s="6">
        <v>3</v>
      </c>
      <c r="U14" s="34" t="str">
        <f>MROUND(Démarrage!N13*0.85,(Démarrage!N21))&amp;"kg"</f>
        <v>0kg</v>
      </c>
      <c r="V14" s="38" t="s">
        <v>22</v>
      </c>
      <c r="W14" s="1"/>
      <c r="X14" s="1"/>
      <c r="Y14" s="1"/>
      <c r="Z14" s="1"/>
      <c r="AA14" s="1"/>
    </row>
    <row r="15" spans="1:27" ht="15.75" x14ac:dyDescent="0.25">
      <c r="A15" s="1"/>
      <c r="B15" s="40"/>
      <c r="C15" s="81"/>
      <c r="D15" s="6">
        <v>3</v>
      </c>
      <c r="E15" s="6">
        <v>7</v>
      </c>
      <c r="F15" s="6" t="str">
        <f>MROUND((Démarrage!N13*0.75)*0.9,(Démarrage!N21))&amp;"kg"</f>
        <v>0kg</v>
      </c>
      <c r="G15" s="18" t="s">
        <v>23</v>
      </c>
      <c r="H15" s="83" t="str">
        <f>Démarrage!W22</f>
        <v>Larsen Press prise moyenne</v>
      </c>
      <c r="I15" s="11" t="s">
        <v>29</v>
      </c>
      <c r="J15" s="7">
        <v>9</v>
      </c>
      <c r="K15" s="7" t="s">
        <v>30</v>
      </c>
      <c r="L15" s="19"/>
      <c r="M15" s="81"/>
      <c r="N15" s="6">
        <v>3</v>
      </c>
      <c r="O15" s="22">
        <f>IF(Démarrage!N17="Femme",7,6)</f>
        <v>6</v>
      </c>
      <c r="P15" s="6" t="str">
        <f>MROUND(Démarrage!N14*0.65,(Démarrage!N21))&amp;"kg"</f>
        <v>0kg</v>
      </c>
      <c r="Q15" s="18" t="s">
        <v>23</v>
      </c>
      <c r="R15" s="81"/>
      <c r="S15" s="6">
        <v>3</v>
      </c>
      <c r="T15" s="6">
        <v>4</v>
      </c>
      <c r="U15" s="34" t="str">
        <f>MROUND((Démarrage!N13*0.85)*0.85,(Démarrage!N21))&amp;"kg"</f>
        <v>0kg</v>
      </c>
      <c r="V15" s="38" t="s">
        <v>23</v>
      </c>
      <c r="W15" s="1"/>
      <c r="X15" s="1"/>
      <c r="Y15" s="1"/>
      <c r="Z15" s="1"/>
      <c r="AA15" s="1"/>
    </row>
    <row r="16" spans="1:27" ht="15.75" x14ac:dyDescent="0.25">
      <c r="A16" s="1"/>
      <c r="B16" s="40"/>
      <c r="C16" s="84" t="s">
        <v>19</v>
      </c>
      <c r="D16" s="7">
        <v>1</v>
      </c>
      <c r="E16" s="7">
        <v>7</v>
      </c>
      <c r="F16" s="7" t="str">
        <f>MROUND(Démarrage!N14*0.75,(Démarrage!N21))&amp;"kg"</f>
        <v>0kg</v>
      </c>
      <c r="G16" s="18" t="s">
        <v>24</v>
      </c>
      <c r="H16" s="83"/>
      <c r="I16" s="23" t="str">
        <f>IF(Démarrage!N19&gt;84,2,"2-3")</f>
        <v>2-3</v>
      </c>
      <c r="J16" s="23" t="str">
        <f>IF(Démarrage!N17="Femme","11","9")</f>
        <v>9</v>
      </c>
      <c r="K16" s="12">
        <v>-0.1</v>
      </c>
      <c r="L16" s="20"/>
      <c r="M16" s="21" t="s">
        <v>37</v>
      </c>
      <c r="N16" s="11" t="s">
        <v>38</v>
      </c>
      <c r="O16" s="7">
        <v>3</v>
      </c>
      <c r="P16" s="7" t="str">
        <f>MROUND(Démarrage!N15*0.7,(Démarrage!N21))&amp;"kg"</f>
        <v>0kg</v>
      </c>
      <c r="Q16" s="18" t="s">
        <v>24</v>
      </c>
      <c r="R16" s="84" t="s">
        <v>19</v>
      </c>
      <c r="S16" s="7">
        <v>1</v>
      </c>
      <c r="T16" s="7">
        <v>3</v>
      </c>
      <c r="U16" s="33" t="str">
        <f>MROUND(Démarrage!N14*0.85,(Démarrage!N21))&amp;"kg"</f>
        <v>0kg</v>
      </c>
      <c r="V16" s="38" t="s">
        <v>24</v>
      </c>
      <c r="W16" s="1"/>
      <c r="X16" s="1"/>
      <c r="Y16" s="1"/>
      <c r="Z16" s="1"/>
      <c r="AA16" s="1"/>
    </row>
    <row r="17" spans="1:27" ht="15.75" x14ac:dyDescent="0.25">
      <c r="A17" s="79" t="s">
        <v>46</v>
      </c>
      <c r="B17" s="40"/>
      <c r="C17" s="84"/>
      <c r="D17" s="23" t="str">
        <f>IF(Démarrage!N17="Femme","4-5","4")</f>
        <v>4</v>
      </c>
      <c r="E17" s="7">
        <v>7</v>
      </c>
      <c r="F17" s="7" t="str">
        <f>MROUND((Démarrage!N14*0.75)*0.9,(Démarrage!N21))&amp;"kg"</f>
        <v>0kg</v>
      </c>
      <c r="G17" s="18" t="s">
        <v>25</v>
      </c>
      <c r="H17" s="16" t="s">
        <v>31</v>
      </c>
      <c r="I17" s="6">
        <v>5</v>
      </c>
      <c r="J17" s="6">
        <v>12</v>
      </c>
      <c r="K17" s="13" t="s">
        <v>30</v>
      </c>
      <c r="L17" s="20"/>
      <c r="M17" s="16" t="s">
        <v>40</v>
      </c>
      <c r="N17" s="6">
        <v>4</v>
      </c>
      <c r="O17" s="6">
        <v>10</v>
      </c>
      <c r="P17" s="13" t="s">
        <v>30</v>
      </c>
      <c r="Q17" s="18" t="s">
        <v>25</v>
      </c>
      <c r="R17" s="84"/>
      <c r="S17" s="23">
        <f>IF(Démarrage!N29&gt;84,3,4)</f>
        <v>4</v>
      </c>
      <c r="T17" s="7">
        <v>4</v>
      </c>
      <c r="U17" s="33" t="str">
        <f>MROUND((Démarrage!N14*0.85)*0.875,(Démarrage!N21))&amp;"kg"</f>
        <v>0kg</v>
      </c>
      <c r="V17" s="38" t="s">
        <v>25</v>
      </c>
      <c r="W17" s="1"/>
      <c r="X17" s="1"/>
      <c r="Y17" s="1"/>
      <c r="Z17" s="1"/>
      <c r="AA17" s="1"/>
    </row>
    <row r="18" spans="1:27" ht="15.75" x14ac:dyDescent="0.25">
      <c r="A18" s="80"/>
      <c r="B18" s="40"/>
      <c r="C18" s="16" t="s">
        <v>20</v>
      </c>
      <c r="D18" s="22">
        <v>1</v>
      </c>
      <c r="E18" s="22">
        <v>7</v>
      </c>
      <c r="F18" s="22" t="str">
        <f>MROUND(Démarrage!N15*0.75,(Démarrage!N21))&amp;"kg"</f>
        <v>0kg</v>
      </c>
      <c r="G18" s="18" t="s">
        <v>26</v>
      </c>
      <c r="H18" s="15" t="s">
        <v>32</v>
      </c>
      <c r="I18" s="23">
        <v>4</v>
      </c>
      <c r="J18" s="24" t="s">
        <v>33</v>
      </c>
      <c r="K18" s="23"/>
      <c r="L18" s="19"/>
      <c r="M18" s="15" t="s">
        <v>41</v>
      </c>
      <c r="N18" s="23">
        <v>5</v>
      </c>
      <c r="O18" s="24" t="s">
        <v>42</v>
      </c>
      <c r="P18" s="23" t="s">
        <v>30</v>
      </c>
      <c r="Q18" s="18" t="s">
        <v>26</v>
      </c>
      <c r="R18" s="81" t="s">
        <v>20</v>
      </c>
      <c r="S18" s="22">
        <v>1</v>
      </c>
      <c r="T18" s="22">
        <v>3</v>
      </c>
      <c r="U18" s="34" t="str">
        <f>MROUND(Démarrage!N15*0.85,(Démarrage!N21))&amp;"kg"</f>
        <v>0kg</v>
      </c>
      <c r="V18" s="38" t="s">
        <v>26</v>
      </c>
      <c r="W18" s="1"/>
      <c r="X18" s="1"/>
      <c r="Y18" s="1"/>
      <c r="Z18" s="1"/>
      <c r="AA18" s="1"/>
    </row>
    <row r="19" spans="1:27" x14ac:dyDescent="0.25">
      <c r="A19" s="1"/>
      <c r="B19" s="41"/>
      <c r="C19" s="25" t="str">
        <f>Démarrage!W16</f>
        <v>Sumo Pausé</v>
      </c>
      <c r="D19" s="26" t="s">
        <v>28</v>
      </c>
      <c r="E19" s="27">
        <v>3</v>
      </c>
      <c r="F19" s="27" t="s">
        <v>54</v>
      </c>
      <c r="G19" s="28"/>
      <c r="H19" s="29" t="s">
        <v>34</v>
      </c>
      <c r="I19" s="30">
        <v>4</v>
      </c>
      <c r="J19" s="31" t="s">
        <v>33</v>
      </c>
      <c r="K19" s="30"/>
      <c r="L19" s="32"/>
      <c r="M19" s="29" t="s">
        <v>43</v>
      </c>
      <c r="N19" s="30">
        <v>3</v>
      </c>
      <c r="O19" s="31" t="s">
        <v>33</v>
      </c>
      <c r="P19" s="30"/>
      <c r="Q19" s="28"/>
      <c r="R19" s="82"/>
      <c r="S19" s="30">
        <f>IF(Démarrage!N29&gt;84,2,3)</f>
        <v>3</v>
      </c>
      <c r="T19" s="31" t="s">
        <v>38</v>
      </c>
      <c r="U19" s="35" t="str">
        <f>MROUND((Démarrage!N15*0.85)*0.85,(Démarrage!N21))&amp;"kg"</f>
        <v>0kg</v>
      </c>
      <c r="V19" s="39"/>
      <c r="W19" s="1"/>
      <c r="X19" s="1"/>
      <c r="Y19" s="1"/>
      <c r="Z19" s="1"/>
      <c r="AA19" s="1"/>
    </row>
    <row r="20" spans="1:27" ht="7.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x14ac:dyDescent="0.25">
      <c r="A22" s="1"/>
      <c r="B22" s="40"/>
      <c r="C22" s="91" t="s">
        <v>59</v>
      </c>
      <c r="D22" s="92"/>
      <c r="E22" s="92"/>
      <c r="F22" s="92"/>
      <c r="G22" s="37"/>
      <c r="H22" s="91" t="s">
        <v>60</v>
      </c>
      <c r="I22" s="92"/>
      <c r="J22" s="92"/>
      <c r="K22" s="92"/>
      <c r="L22" s="14"/>
      <c r="M22" s="91" t="s">
        <v>61</v>
      </c>
      <c r="N22" s="92"/>
      <c r="O22" s="92"/>
      <c r="P22" s="92"/>
      <c r="Q22" s="37"/>
      <c r="R22" s="91" t="s">
        <v>62</v>
      </c>
      <c r="S22" s="92"/>
      <c r="T22" s="92"/>
      <c r="U22" s="92"/>
      <c r="V22" s="37"/>
      <c r="W22" s="1"/>
      <c r="X22" s="1"/>
      <c r="Y22" s="1"/>
      <c r="Z22" s="1"/>
      <c r="AA22" s="1"/>
    </row>
    <row r="23" spans="1:27" x14ac:dyDescent="0.25">
      <c r="A23" s="1"/>
      <c r="B23" s="40"/>
      <c r="C23" s="15" t="s">
        <v>15</v>
      </c>
      <c r="D23" s="7" t="s">
        <v>16</v>
      </c>
      <c r="E23" s="7" t="s">
        <v>17</v>
      </c>
      <c r="F23" s="7" t="s">
        <v>18</v>
      </c>
      <c r="G23" s="17"/>
      <c r="H23" s="15" t="s">
        <v>15</v>
      </c>
      <c r="I23" s="7" t="s">
        <v>16</v>
      </c>
      <c r="J23" s="7" t="s">
        <v>17</v>
      </c>
      <c r="K23" s="7" t="s">
        <v>18</v>
      </c>
      <c r="L23" s="19"/>
      <c r="M23" s="15" t="s">
        <v>15</v>
      </c>
      <c r="N23" s="7" t="s">
        <v>16</v>
      </c>
      <c r="O23" s="7" t="s">
        <v>17</v>
      </c>
      <c r="P23" s="7" t="s">
        <v>18</v>
      </c>
      <c r="Q23" s="17"/>
      <c r="R23" s="15" t="s">
        <v>15</v>
      </c>
      <c r="S23" s="7" t="s">
        <v>16</v>
      </c>
      <c r="T23" s="7" t="s">
        <v>17</v>
      </c>
      <c r="U23" s="33" t="s">
        <v>18</v>
      </c>
      <c r="V23" s="36"/>
      <c r="W23" s="1"/>
      <c r="X23" s="1"/>
      <c r="Y23" s="1"/>
      <c r="Z23" s="1"/>
      <c r="AA23" s="1"/>
    </row>
    <row r="24" spans="1:27" ht="15.75" x14ac:dyDescent="0.25">
      <c r="A24" s="1"/>
      <c r="B24" s="40"/>
      <c r="C24" s="81" t="s">
        <v>1</v>
      </c>
      <c r="D24" s="6">
        <v>1</v>
      </c>
      <c r="E24" s="6">
        <v>6</v>
      </c>
      <c r="F24" s="6" t="str">
        <f>MROUND(Démarrage!N13*0.775,(Démarrage!N21))&amp;"kg"</f>
        <v>0kg</v>
      </c>
      <c r="G24" s="18" t="s">
        <v>22</v>
      </c>
      <c r="H24" s="16" t="str">
        <f>Démarrage!W19</f>
        <v>Squat Barre Haute</v>
      </c>
      <c r="I24" s="22" t="str">
        <f>IF(Démarrage!N17="Femme","3-4","2-3")</f>
        <v>2-3</v>
      </c>
      <c r="J24" s="6">
        <v>5</v>
      </c>
      <c r="K24" s="6" t="str">
        <f>MROUND(Démarrage!N13*0.675,(Démarrage!N21))&amp;"kg"</f>
        <v>0kg</v>
      </c>
      <c r="L24" s="19"/>
      <c r="M24" s="81" t="s">
        <v>44</v>
      </c>
      <c r="N24" s="6">
        <v>1</v>
      </c>
      <c r="O24" s="6">
        <v>1</v>
      </c>
      <c r="P24" s="6" t="str">
        <f>MROUND(Démarrage!N14*0.85,(Démarrage!N21))&amp;"kg"</f>
        <v>0kg</v>
      </c>
      <c r="Q24" s="18" t="s">
        <v>22</v>
      </c>
      <c r="R24" s="81" t="s">
        <v>1</v>
      </c>
      <c r="S24" s="6">
        <v>1</v>
      </c>
      <c r="T24" s="6">
        <v>2</v>
      </c>
      <c r="U24" s="34" t="str">
        <f>MROUND(Démarrage!N13*0.875,(Démarrage!N21))&amp;"kg"</f>
        <v>0kg</v>
      </c>
      <c r="V24" s="38" t="s">
        <v>22</v>
      </c>
      <c r="W24" s="1"/>
      <c r="X24" s="1"/>
      <c r="Y24" s="1"/>
      <c r="Z24" s="1"/>
      <c r="AA24" s="1"/>
    </row>
    <row r="25" spans="1:27" ht="15.75" x14ac:dyDescent="0.25">
      <c r="A25" s="1"/>
      <c r="B25" s="40"/>
      <c r="C25" s="81"/>
      <c r="D25" s="6">
        <v>3</v>
      </c>
      <c r="E25" s="6">
        <v>6</v>
      </c>
      <c r="F25" s="6" t="str">
        <f>MROUND((Démarrage!N13*0.775)*0.9,(Démarrage!N21))&amp;"kg"</f>
        <v>0kg</v>
      </c>
      <c r="G25" s="18" t="s">
        <v>23</v>
      </c>
      <c r="H25" s="83" t="str">
        <f>Démarrage!W22</f>
        <v>Larsen Press prise moyenne</v>
      </c>
      <c r="I25" s="11" t="s">
        <v>29</v>
      </c>
      <c r="J25" s="7">
        <v>8</v>
      </c>
      <c r="K25" s="7" t="s">
        <v>30</v>
      </c>
      <c r="L25" s="19"/>
      <c r="M25" s="81"/>
      <c r="N25" s="6">
        <v>3</v>
      </c>
      <c r="O25" s="22">
        <f>IF(Démarrage!N17="Femme",6,5)</f>
        <v>5</v>
      </c>
      <c r="P25" s="6" t="str">
        <f>MROUND(Démarrage!N14*0.675,(Démarrage!N21))&amp;"kg"</f>
        <v>0kg</v>
      </c>
      <c r="Q25" s="18" t="s">
        <v>23</v>
      </c>
      <c r="R25" s="81"/>
      <c r="S25" s="6">
        <v>3</v>
      </c>
      <c r="T25" s="6">
        <v>3</v>
      </c>
      <c r="U25" s="34" t="str">
        <f>MROUND((Démarrage!N13*0.875)*0.85,(Démarrage!N21))&amp;"kg"</f>
        <v>0kg</v>
      </c>
      <c r="V25" s="38" t="s">
        <v>23</v>
      </c>
      <c r="W25" s="1"/>
      <c r="X25" s="1"/>
      <c r="Y25" s="1"/>
      <c r="Z25" s="1"/>
      <c r="AA25" s="1"/>
    </row>
    <row r="26" spans="1:27" ht="15.75" x14ac:dyDescent="0.25">
      <c r="A26" s="1"/>
      <c r="B26" s="40"/>
      <c r="C26" s="84" t="s">
        <v>19</v>
      </c>
      <c r="D26" s="7">
        <v>1</v>
      </c>
      <c r="E26" s="7">
        <v>6</v>
      </c>
      <c r="F26" s="7" t="str">
        <f>MROUND(Démarrage!N14*0.775,(Démarrage!N21))&amp;"kg"</f>
        <v>0kg</v>
      </c>
      <c r="G26" s="18" t="s">
        <v>24</v>
      </c>
      <c r="H26" s="83"/>
      <c r="I26" s="23" t="str">
        <f>IF(Démarrage!N19&gt;84,2,"2-3")</f>
        <v>2-3</v>
      </c>
      <c r="J26" s="23" t="str">
        <f>IF(Démarrage!N17="Femme","10","8")</f>
        <v>8</v>
      </c>
      <c r="K26" s="12">
        <v>-0.1</v>
      </c>
      <c r="L26" s="20"/>
      <c r="M26" s="21" t="s">
        <v>37</v>
      </c>
      <c r="N26" s="11" t="s">
        <v>35</v>
      </c>
      <c r="O26" s="7">
        <v>3</v>
      </c>
      <c r="P26" s="7" t="str">
        <f>MROUND(Démarrage!N15*0.72,(Démarrage!N21))&amp;"kg"</f>
        <v>0kg</v>
      </c>
      <c r="Q26" s="18" t="s">
        <v>24</v>
      </c>
      <c r="R26" s="84" t="s">
        <v>19</v>
      </c>
      <c r="S26" s="7">
        <v>1</v>
      </c>
      <c r="T26" s="7">
        <v>2</v>
      </c>
      <c r="U26" s="33" t="str">
        <f>MROUND(Démarrage!N14*0.875,(Démarrage!N21))&amp;"kg"</f>
        <v>0kg</v>
      </c>
      <c r="V26" s="38" t="s">
        <v>24</v>
      </c>
      <c r="W26" s="1"/>
      <c r="X26" s="1"/>
      <c r="Y26" s="1"/>
      <c r="Z26" s="1"/>
      <c r="AA26" s="1"/>
    </row>
    <row r="27" spans="1:27" ht="15.75" x14ac:dyDescent="0.25">
      <c r="A27" s="79" t="s">
        <v>51</v>
      </c>
      <c r="B27" s="40"/>
      <c r="C27" s="84"/>
      <c r="D27" s="23" t="str">
        <f>IF(Démarrage!N17="Femme","4-5","4")</f>
        <v>4</v>
      </c>
      <c r="E27" s="7">
        <v>6</v>
      </c>
      <c r="F27" s="7" t="str">
        <f>MROUND((Démarrage!N14*0.775)*0.9,(Démarrage!N21))&amp;"kg"</f>
        <v>0kg</v>
      </c>
      <c r="G27" s="18" t="s">
        <v>25</v>
      </c>
      <c r="H27" s="16" t="s">
        <v>31</v>
      </c>
      <c r="I27" s="6">
        <v>5</v>
      </c>
      <c r="J27" s="6">
        <v>12</v>
      </c>
      <c r="K27" s="13" t="s">
        <v>30</v>
      </c>
      <c r="L27" s="20"/>
      <c r="M27" s="16" t="s">
        <v>40</v>
      </c>
      <c r="N27" s="6">
        <v>4</v>
      </c>
      <c r="O27" s="6">
        <v>10</v>
      </c>
      <c r="P27" s="13" t="s">
        <v>30</v>
      </c>
      <c r="Q27" s="18" t="s">
        <v>25</v>
      </c>
      <c r="R27" s="84"/>
      <c r="S27" s="23">
        <f>IF(Démarrage!N39&gt;84,3,4)</f>
        <v>4</v>
      </c>
      <c r="T27" s="7">
        <v>3</v>
      </c>
      <c r="U27" s="33" t="str">
        <f>MROUND((Démarrage!N14*0.875)*0.875,(Démarrage!N21))&amp;"kg"</f>
        <v>0kg</v>
      </c>
      <c r="V27" s="38" t="s">
        <v>25</v>
      </c>
      <c r="W27" s="1"/>
      <c r="X27" s="1"/>
      <c r="Y27" s="1"/>
      <c r="Z27" s="1"/>
      <c r="AA27" s="1"/>
    </row>
    <row r="28" spans="1:27" ht="15.75" x14ac:dyDescent="0.25">
      <c r="A28" s="80"/>
      <c r="B28" s="40"/>
      <c r="C28" s="16" t="s">
        <v>20</v>
      </c>
      <c r="D28" s="22">
        <v>1</v>
      </c>
      <c r="E28" s="22">
        <v>6</v>
      </c>
      <c r="F28" s="22" t="str">
        <f>MROUND(Démarrage!N15*0.775,(Démarrage!N21))&amp;"kg"</f>
        <v>0kg</v>
      </c>
      <c r="G28" s="18" t="s">
        <v>26</v>
      </c>
      <c r="H28" s="15" t="s">
        <v>32</v>
      </c>
      <c r="I28" s="23">
        <v>4</v>
      </c>
      <c r="J28" s="24" t="s">
        <v>33</v>
      </c>
      <c r="K28" s="23"/>
      <c r="L28" s="19"/>
      <c r="M28" s="15" t="s">
        <v>41</v>
      </c>
      <c r="N28" s="23">
        <v>4</v>
      </c>
      <c r="O28" s="24" t="s">
        <v>42</v>
      </c>
      <c r="P28" s="23" t="s">
        <v>30</v>
      </c>
      <c r="Q28" s="18" t="s">
        <v>26</v>
      </c>
      <c r="R28" s="81" t="s">
        <v>20</v>
      </c>
      <c r="S28" s="22">
        <v>1</v>
      </c>
      <c r="T28" s="22">
        <v>2</v>
      </c>
      <c r="U28" s="34" t="str">
        <f>MROUND(Démarrage!N15*0.875,(Démarrage!N21))&amp;"kg"</f>
        <v>0kg</v>
      </c>
      <c r="V28" s="38" t="s">
        <v>26</v>
      </c>
      <c r="W28" s="1"/>
      <c r="X28" s="1"/>
      <c r="Y28" s="1"/>
      <c r="Z28" s="1"/>
      <c r="AA28" s="1"/>
    </row>
    <row r="29" spans="1:27" x14ac:dyDescent="0.25">
      <c r="A29" s="1"/>
      <c r="B29" s="41"/>
      <c r="C29" s="25" t="str">
        <f>Démarrage!W16</f>
        <v>Sumo Pausé</v>
      </c>
      <c r="D29" s="26" t="s">
        <v>52</v>
      </c>
      <c r="E29" s="27">
        <v>3</v>
      </c>
      <c r="F29" s="27" t="s">
        <v>55</v>
      </c>
      <c r="G29" s="28"/>
      <c r="H29" s="29" t="s">
        <v>34</v>
      </c>
      <c r="I29" s="30">
        <v>3</v>
      </c>
      <c r="J29" s="31" t="s">
        <v>33</v>
      </c>
      <c r="K29" s="30"/>
      <c r="L29" s="32"/>
      <c r="M29" s="29" t="s">
        <v>43</v>
      </c>
      <c r="N29" s="30">
        <v>3</v>
      </c>
      <c r="O29" s="31" t="s">
        <v>33</v>
      </c>
      <c r="P29" s="30"/>
      <c r="Q29" s="28"/>
      <c r="R29" s="82"/>
      <c r="S29" s="30">
        <f>IF(Démarrage!N39&gt;84,2,3)</f>
        <v>3</v>
      </c>
      <c r="T29" s="31" t="s">
        <v>35</v>
      </c>
      <c r="U29" s="35" t="str">
        <f>MROUND((Démarrage!N15*0.875)*0.85,(Démarrage!N21))&amp;"kg"</f>
        <v>0kg</v>
      </c>
      <c r="V29" s="39"/>
      <c r="W29" s="1"/>
      <c r="X29" s="1"/>
      <c r="Y29" s="1"/>
      <c r="Z29" s="1"/>
      <c r="AA29" s="1"/>
    </row>
    <row r="30" spans="1:27" ht="7.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x14ac:dyDescent="0.25">
      <c r="A32" s="1"/>
      <c r="B32" s="40"/>
      <c r="C32" s="91" t="s">
        <v>63</v>
      </c>
      <c r="D32" s="92"/>
      <c r="E32" s="92"/>
      <c r="F32" s="92"/>
      <c r="G32" s="37"/>
      <c r="H32" s="91" t="s">
        <v>64</v>
      </c>
      <c r="I32" s="92"/>
      <c r="J32" s="92"/>
      <c r="K32" s="92"/>
      <c r="L32" s="14"/>
      <c r="M32" s="91" t="s">
        <v>65</v>
      </c>
      <c r="N32" s="92"/>
      <c r="O32" s="92"/>
      <c r="P32" s="92"/>
      <c r="Q32" s="37"/>
      <c r="R32" s="91" t="s">
        <v>66</v>
      </c>
      <c r="S32" s="92"/>
      <c r="T32" s="92"/>
      <c r="U32" s="92"/>
      <c r="V32" s="37"/>
      <c r="W32" s="1"/>
      <c r="X32" s="1"/>
      <c r="Y32" s="1"/>
      <c r="Z32" s="1"/>
      <c r="AA32" s="1"/>
    </row>
    <row r="33" spans="1:27" x14ac:dyDescent="0.25">
      <c r="A33" s="1"/>
      <c r="B33" s="40"/>
      <c r="C33" s="15" t="s">
        <v>15</v>
      </c>
      <c r="D33" s="7" t="s">
        <v>16</v>
      </c>
      <c r="E33" s="7" t="s">
        <v>17</v>
      </c>
      <c r="F33" s="7" t="s">
        <v>18</v>
      </c>
      <c r="G33" s="17"/>
      <c r="H33" s="15" t="s">
        <v>15</v>
      </c>
      <c r="I33" s="7" t="s">
        <v>16</v>
      </c>
      <c r="J33" s="7" t="s">
        <v>17</v>
      </c>
      <c r="K33" s="7" t="s">
        <v>18</v>
      </c>
      <c r="L33" s="19"/>
      <c r="M33" s="15" t="s">
        <v>15</v>
      </c>
      <c r="N33" s="7" t="s">
        <v>16</v>
      </c>
      <c r="O33" s="7" t="s">
        <v>17</v>
      </c>
      <c r="P33" s="7" t="s">
        <v>18</v>
      </c>
      <c r="Q33" s="17"/>
      <c r="R33" s="15" t="s">
        <v>15</v>
      </c>
      <c r="S33" s="7" t="s">
        <v>16</v>
      </c>
      <c r="T33" s="7" t="s">
        <v>17</v>
      </c>
      <c r="U33" s="33" t="s">
        <v>18</v>
      </c>
      <c r="V33" s="36"/>
      <c r="W33" s="1"/>
      <c r="X33" s="1"/>
      <c r="Y33" s="1"/>
      <c r="Z33" s="1"/>
      <c r="AA33" s="1"/>
    </row>
    <row r="34" spans="1:27" ht="15.75" x14ac:dyDescent="0.25">
      <c r="A34" s="1"/>
      <c r="B34" s="40"/>
      <c r="C34" s="81" t="s">
        <v>1</v>
      </c>
      <c r="D34" s="6">
        <v>1</v>
      </c>
      <c r="E34" s="6">
        <v>5</v>
      </c>
      <c r="F34" s="6" t="str">
        <f>MROUND(Démarrage!N13*0.8,(Démarrage!N21))&amp;"kg"</f>
        <v>0kg</v>
      </c>
      <c r="G34" s="18" t="s">
        <v>22</v>
      </c>
      <c r="H34" s="16" t="str">
        <f>Démarrage!W19</f>
        <v>Squat Barre Haute</v>
      </c>
      <c r="I34" s="22" t="str">
        <f>IF(Démarrage!N17="Femme","3","2")</f>
        <v>2</v>
      </c>
      <c r="J34" s="6">
        <v>4</v>
      </c>
      <c r="K34" s="6" t="str">
        <f>MROUND(Démarrage!N13*0.7,(Démarrage!N21))&amp;"kg"</f>
        <v>0kg</v>
      </c>
      <c r="L34" s="19"/>
      <c r="M34" s="81" t="s">
        <v>44</v>
      </c>
      <c r="N34" s="6">
        <v>1</v>
      </c>
      <c r="O34" s="6">
        <v>1</v>
      </c>
      <c r="P34" s="6" t="str">
        <f>MROUND(Démarrage!N14*0.875,(Démarrage!N21))&amp;"kg"</f>
        <v>0kg</v>
      </c>
      <c r="Q34" s="18" t="s">
        <v>22</v>
      </c>
      <c r="R34" s="81" t="s">
        <v>1</v>
      </c>
      <c r="S34" s="6">
        <v>1</v>
      </c>
      <c r="T34" s="6">
        <v>1</v>
      </c>
      <c r="U34" s="34" t="str">
        <f>MROUND(Démarrage!N13*0.9,(Démarrage!N21))&amp;"kg"</f>
        <v>0kg</v>
      </c>
      <c r="V34" s="38" t="s">
        <v>22</v>
      </c>
      <c r="W34" s="1"/>
      <c r="X34" s="1"/>
      <c r="Y34" s="1"/>
      <c r="Z34" s="1"/>
      <c r="AA34" s="1"/>
    </row>
    <row r="35" spans="1:27" ht="15.75" x14ac:dyDescent="0.25">
      <c r="A35" s="1"/>
      <c r="B35" s="40"/>
      <c r="C35" s="81"/>
      <c r="D35" s="6">
        <v>3</v>
      </c>
      <c r="E35" s="6">
        <v>5</v>
      </c>
      <c r="F35" s="6" t="str">
        <f>MROUND((Démarrage!N13*0.8)*0.9,(Démarrage!N21))&amp;"kg"</f>
        <v>0kg</v>
      </c>
      <c r="G35" s="18" t="s">
        <v>23</v>
      </c>
      <c r="H35" s="83" t="str">
        <f>Démarrage!W22</f>
        <v>Larsen Press prise moyenne</v>
      </c>
      <c r="I35" s="11" t="s">
        <v>29</v>
      </c>
      <c r="J35" s="7">
        <v>7</v>
      </c>
      <c r="K35" s="7" t="s">
        <v>30</v>
      </c>
      <c r="L35" s="19"/>
      <c r="M35" s="81"/>
      <c r="N35" s="6">
        <v>3</v>
      </c>
      <c r="O35" s="22">
        <f>IF(Démarrage!N17="Femme",5,4)</f>
        <v>4</v>
      </c>
      <c r="P35" s="6" t="str">
        <f>MROUND(Démarrage!N14*0.7,(Démarrage!N21))&amp;"kg"</f>
        <v>0kg</v>
      </c>
      <c r="Q35" s="18" t="s">
        <v>23</v>
      </c>
      <c r="R35" s="81"/>
      <c r="S35" s="6">
        <v>3</v>
      </c>
      <c r="T35" s="6">
        <v>2</v>
      </c>
      <c r="U35" s="34" t="str">
        <f>MROUND((Démarrage!N13*0.9)*0.85,(Démarrage!N21))&amp;"kg"</f>
        <v>0kg</v>
      </c>
      <c r="V35" s="38" t="s">
        <v>23</v>
      </c>
      <c r="W35" s="1"/>
      <c r="X35" s="1"/>
      <c r="Y35" s="1"/>
      <c r="Z35" s="1"/>
      <c r="AA35" s="1"/>
    </row>
    <row r="36" spans="1:27" ht="15.75" x14ac:dyDescent="0.25">
      <c r="A36" s="1"/>
      <c r="B36" s="40"/>
      <c r="C36" s="84" t="s">
        <v>19</v>
      </c>
      <c r="D36" s="7">
        <v>1</v>
      </c>
      <c r="E36" s="7">
        <v>5</v>
      </c>
      <c r="F36" s="7" t="str">
        <f>MROUND(Démarrage!N14*0.8,(Démarrage!N21))&amp;"kg"</f>
        <v>0kg</v>
      </c>
      <c r="G36" s="18" t="s">
        <v>24</v>
      </c>
      <c r="H36" s="83"/>
      <c r="I36" s="23">
        <f>IF(Démarrage!N19&gt;84,1,2)</f>
        <v>2</v>
      </c>
      <c r="J36" s="23" t="str">
        <f>IF(Démarrage!N17="Femme","9","7")</f>
        <v>7</v>
      </c>
      <c r="K36" s="12">
        <v>-0.1</v>
      </c>
      <c r="L36" s="20"/>
      <c r="M36" s="21" t="s">
        <v>37</v>
      </c>
      <c r="N36" s="11" t="s">
        <v>35</v>
      </c>
      <c r="O36" s="7">
        <v>2</v>
      </c>
      <c r="P36" s="7" t="str">
        <f>MROUND(Démarrage!N15*0.74,(Démarrage!N21))&amp;"kg"</f>
        <v>0kg</v>
      </c>
      <c r="Q36" s="18" t="s">
        <v>24</v>
      </c>
      <c r="R36" s="84" t="s">
        <v>19</v>
      </c>
      <c r="S36" s="7">
        <v>1</v>
      </c>
      <c r="T36" s="7">
        <v>1</v>
      </c>
      <c r="U36" s="33" t="str">
        <f>MROUND(Démarrage!N14*0.9,(Démarrage!N21))&amp;"kg"</f>
        <v>0kg</v>
      </c>
      <c r="V36" s="38" t="s">
        <v>24</v>
      </c>
      <c r="W36" s="1"/>
      <c r="X36" s="1"/>
      <c r="Y36" s="1"/>
      <c r="Z36" s="1"/>
      <c r="AA36" s="1"/>
    </row>
    <row r="37" spans="1:27" ht="15.75" x14ac:dyDescent="0.25">
      <c r="A37" s="79" t="s">
        <v>56</v>
      </c>
      <c r="B37" s="40"/>
      <c r="C37" s="84"/>
      <c r="D37" s="23" t="str">
        <f>IF(Démarrage!N17="Femme","4-5","4")</f>
        <v>4</v>
      </c>
      <c r="E37" s="7">
        <v>5</v>
      </c>
      <c r="F37" s="7" t="str">
        <f>MROUND((Démarrage!N14*0.8)*0.9,(Démarrage!N21))&amp;"kg"</f>
        <v>0kg</v>
      </c>
      <c r="G37" s="18" t="s">
        <v>25</v>
      </c>
      <c r="H37" s="16" t="s">
        <v>31</v>
      </c>
      <c r="I37" s="6">
        <v>4</v>
      </c>
      <c r="J37" s="6">
        <v>12</v>
      </c>
      <c r="K37" s="13" t="s">
        <v>30</v>
      </c>
      <c r="L37" s="20"/>
      <c r="M37" s="16" t="s">
        <v>40</v>
      </c>
      <c r="N37" s="6">
        <v>4</v>
      </c>
      <c r="O37" s="6">
        <v>10</v>
      </c>
      <c r="P37" s="13" t="s">
        <v>30</v>
      </c>
      <c r="Q37" s="18" t="s">
        <v>25</v>
      </c>
      <c r="R37" s="84"/>
      <c r="S37" s="23">
        <f>IF(Démarrage!N49&gt;84,3,4)</f>
        <v>4</v>
      </c>
      <c r="T37" s="7">
        <v>2</v>
      </c>
      <c r="U37" s="33" t="str">
        <f>MROUND((Démarrage!N14*0.9)*0.875,(Démarrage!N21))&amp;"kg"</f>
        <v>0kg</v>
      </c>
      <c r="V37" s="38" t="s">
        <v>25</v>
      </c>
      <c r="W37" s="1"/>
      <c r="X37" s="1"/>
      <c r="Y37" s="1"/>
      <c r="Z37" s="1"/>
      <c r="AA37" s="1"/>
    </row>
    <row r="38" spans="1:27" ht="15.75" x14ac:dyDescent="0.25">
      <c r="A38" s="80"/>
      <c r="B38" s="40"/>
      <c r="C38" s="16" t="s">
        <v>20</v>
      </c>
      <c r="D38" s="22">
        <v>1</v>
      </c>
      <c r="E38" s="22">
        <v>5</v>
      </c>
      <c r="F38" s="22" t="str">
        <f>MROUND(Démarrage!N15*0.8,(Démarrage!N21))&amp;"kg"</f>
        <v>0kg</v>
      </c>
      <c r="G38" s="18" t="s">
        <v>26</v>
      </c>
      <c r="H38" s="15" t="s">
        <v>32</v>
      </c>
      <c r="I38" s="23">
        <v>3</v>
      </c>
      <c r="J38" s="24" t="s">
        <v>33</v>
      </c>
      <c r="K38" s="23"/>
      <c r="L38" s="19"/>
      <c r="M38" s="15" t="s">
        <v>41</v>
      </c>
      <c r="N38" s="23">
        <v>4</v>
      </c>
      <c r="O38" s="24" t="s">
        <v>42</v>
      </c>
      <c r="P38" s="23" t="s">
        <v>30</v>
      </c>
      <c r="Q38" s="18" t="s">
        <v>26</v>
      </c>
      <c r="R38" s="81" t="s">
        <v>20</v>
      </c>
      <c r="S38" s="22">
        <v>1</v>
      </c>
      <c r="T38" s="22">
        <v>1</v>
      </c>
      <c r="U38" s="34" t="str">
        <f>MROUND(Démarrage!N15*0.9,(Démarrage!N21))&amp;"kg"</f>
        <v>0kg</v>
      </c>
      <c r="V38" s="38" t="s">
        <v>26</v>
      </c>
      <c r="W38" s="1"/>
      <c r="X38" s="1"/>
      <c r="Y38" s="1"/>
      <c r="Z38" s="1"/>
      <c r="AA38" s="1"/>
    </row>
    <row r="39" spans="1:27" x14ac:dyDescent="0.25">
      <c r="A39" s="1"/>
      <c r="B39" s="41"/>
      <c r="C39" s="25" t="str">
        <f>Démarrage!W16</f>
        <v>Sumo Pausé</v>
      </c>
      <c r="D39" s="26" t="s">
        <v>52</v>
      </c>
      <c r="E39" s="27">
        <v>2</v>
      </c>
      <c r="F39" s="27" t="s">
        <v>58</v>
      </c>
      <c r="G39" s="28"/>
      <c r="H39" s="29" t="s">
        <v>34</v>
      </c>
      <c r="I39" s="30">
        <v>3</v>
      </c>
      <c r="J39" s="31" t="s">
        <v>33</v>
      </c>
      <c r="K39" s="30"/>
      <c r="L39" s="32"/>
      <c r="M39" s="29" t="s">
        <v>43</v>
      </c>
      <c r="N39" s="30">
        <v>3</v>
      </c>
      <c r="O39" s="31" t="s">
        <v>33</v>
      </c>
      <c r="P39" s="30"/>
      <c r="Q39" s="28"/>
      <c r="R39" s="82"/>
      <c r="S39" s="30">
        <f>IF(Démarrage!N49&gt;84,2,3)</f>
        <v>3</v>
      </c>
      <c r="T39" s="31" t="s">
        <v>39</v>
      </c>
      <c r="U39" s="35" t="str">
        <f>MROUND((Démarrage!N15*0.9)*0.85,(Démarrage!N21))&amp;"kg"</f>
        <v>0kg</v>
      </c>
      <c r="V39" s="39"/>
      <c r="W39" s="1"/>
      <c r="X39" s="1"/>
      <c r="Y39" s="1"/>
      <c r="Z39" s="1"/>
      <c r="AA39" s="1"/>
    </row>
    <row r="40" spans="1:27" ht="7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x14ac:dyDescent="0.25">
      <c r="A42" s="1"/>
      <c r="B42" s="40"/>
      <c r="C42" s="91" t="s">
        <v>74</v>
      </c>
      <c r="D42" s="92"/>
      <c r="E42" s="92"/>
      <c r="F42" s="92"/>
      <c r="G42" s="37"/>
      <c r="H42" s="91" t="s">
        <v>75</v>
      </c>
      <c r="I42" s="92"/>
      <c r="J42" s="92"/>
      <c r="K42" s="92"/>
      <c r="L42" s="14"/>
      <c r="M42" s="91" t="s">
        <v>76</v>
      </c>
      <c r="N42" s="92"/>
      <c r="O42" s="92"/>
      <c r="P42" s="92"/>
      <c r="Q42" s="37"/>
      <c r="R42" s="91" t="s">
        <v>77</v>
      </c>
      <c r="S42" s="92"/>
      <c r="T42" s="92"/>
      <c r="U42" s="92"/>
      <c r="V42" s="37"/>
      <c r="W42" s="1"/>
      <c r="X42" s="1"/>
      <c r="Y42" s="1"/>
      <c r="Z42" s="1"/>
      <c r="AA42" s="1"/>
    </row>
    <row r="43" spans="1:27" x14ac:dyDescent="0.25">
      <c r="A43" s="1"/>
      <c r="B43" s="40"/>
      <c r="C43" s="15" t="s">
        <v>15</v>
      </c>
      <c r="D43" s="23" t="s">
        <v>16</v>
      </c>
      <c r="E43" s="23" t="s">
        <v>17</v>
      </c>
      <c r="F43" s="23" t="s">
        <v>18</v>
      </c>
      <c r="G43" s="17"/>
      <c r="H43" s="15" t="s">
        <v>15</v>
      </c>
      <c r="I43" s="23" t="s">
        <v>16</v>
      </c>
      <c r="J43" s="23" t="s">
        <v>17</v>
      </c>
      <c r="K43" s="23" t="s">
        <v>18</v>
      </c>
      <c r="L43" s="19"/>
      <c r="M43" s="15" t="s">
        <v>15</v>
      </c>
      <c r="N43" s="23" t="s">
        <v>16</v>
      </c>
      <c r="O43" s="23" t="s">
        <v>17</v>
      </c>
      <c r="P43" s="23" t="s">
        <v>18</v>
      </c>
      <c r="Q43" s="17"/>
      <c r="R43" s="15" t="s">
        <v>15</v>
      </c>
      <c r="S43" s="23" t="s">
        <v>16</v>
      </c>
      <c r="T43" s="23" t="s">
        <v>17</v>
      </c>
      <c r="U43" s="33" t="s">
        <v>18</v>
      </c>
      <c r="V43" s="36"/>
      <c r="W43" s="1"/>
      <c r="X43" s="1"/>
      <c r="Y43" s="1"/>
      <c r="Z43" s="1"/>
      <c r="AA43" s="1"/>
    </row>
    <row r="44" spans="1:27" ht="15.75" x14ac:dyDescent="0.25">
      <c r="A44" s="1"/>
      <c r="B44" s="40"/>
      <c r="C44" s="81" t="s">
        <v>1</v>
      </c>
      <c r="D44" s="22">
        <v>1</v>
      </c>
      <c r="E44" s="22">
        <v>4</v>
      </c>
      <c r="F44" s="22" t="str">
        <f>MROUND(Démarrage!N13*0.825,(Démarrage!N21))&amp;"kg"</f>
        <v>0kg</v>
      </c>
      <c r="G44" s="18" t="s">
        <v>22</v>
      </c>
      <c r="H44" s="16" t="str">
        <f>Démarrage!W19</f>
        <v>Squat Barre Haute</v>
      </c>
      <c r="I44" s="22" t="str">
        <f>IF(Démarrage!N27="Femme","3","2")</f>
        <v>2</v>
      </c>
      <c r="J44" s="22">
        <v>3</v>
      </c>
      <c r="K44" s="22" t="str">
        <f>MROUND(Démarrage!N13*0.725,(Démarrage!N21))&amp;"kg"</f>
        <v>0kg</v>
      </c>
      <c r="L44" s="19"/>
      <c r="M44" s="81" t="s">
        <v>44</v>
      </c>
      <c r="N44" s="22">
        <v>1</v>
      </c>
      <c r="O44" s="22">
        <v>1</v>
      </c>
      <c r="P44" s="22" t="str">
        <f>MROUND(Démarrage!N14*0.825,(Démarrage!N21))&amp;"kg"</f>
        <v>0kg</v>
      </c>
      <c r="Q44" s="18" t="s">
        <v>22</v>
      </c>
      <c r="R44" s="81" t="s">
        <v>1</v>
      </c>
      <c r="S44" s="22">
        <v>1</v>
      </c>
      <c r="T44" s="46" t="s">
        <v>79</v>
      </c>
      <c r="U44" s="34" t="str">
        <f>MROUND(Démarrage!N13*0.925,(Démarrage!N21))&amp;"kg"</f>
        <v>0kg</v>
      </c>
      <c r="V44" s="38" t="s">
        <v>22</v>
      </c>
      <c r="W44" s="1"/>
      <c r="X44" s="1"/>
      <c r="Y44" s="1"/>
      <c r="Z44" s="1"/>
      <c r="AA44" s="1"/>
    </row>
    <row r="45" spans="1:27" ht="15.75" x14ac:dyDescent="0.25">
      <c r="A45" s="1"/>
      <c r="B45" s="40"/>
      <c r="C45" s="81"/>
      <c r="D45" s="22">
        <v>3</v>
      </c>
      <c r="E45" s="22">
        <v>4</v>
      </c>
      <c r="F45" s="22" t="str">
        <f>MROUND((Démarrage!N13*0.825)*0.9,(Démarrage!N21))&amp;"kg"</f>
        <v>0kg</v>
      </c>
      <c r="G45" s="18" t="s">
        <v>23</v>
      </c>
      <c r="H45" s="83" t="str">
        <f>Démarrage!W22</f>
        <v>Larsen Press prise moyenne</v>
      </c>
      <c r="I45" s="24" t="s">
        <v>29</v>
      </c>
      <c r="J45" s="23">
        <v>6</v>
      </c>
      <c r="K45" s="23" t="s">
        <v>30</v>
      </c>
      <c r="L45" s="19"/>
      <c r="M45" s="81"/>
      <c r="N45" s="22">
        <v>3</v>
      </c>
      <c r="O45" s="22">
        <f>IF(Démarrage!N17="Femme",4,3)</f>
        <v>3</v>
      </c>
      <c r="P45" s="22" t="str">
        <f>MROUND(Démarrage!N14*0.725,(Démarrage!N21))&amp;"kg"</f>
        <v>0kg</v>
      </c>
      <c r="Q45" s="18" t="s">
        <v>23</v>
      </c>
      <c r="R45" s="81"/>
      <c r="S45" s="22" t="s">
        <v>80</v>
      </c>
      <c r="T45" s="22" t="s">
        <v>78</v>
      </c>
      <c r="U45" s="34" t="s">
        <v>2</v>
      </c>
      <c r="V45" s="38" t="s">
        <v>23</v>
      </c>
      <c r="W45" s="1"/>
      <c r="X45" s="1"/>
      <c r="Y45" s="1"/>
      <c r="Z45" s="1"/>
      <c r="AA45" s="1"/>
    </row>
    <row r="46" spans="1:27" ht="15.75" x14ac:dyDescent="0.25">
      <c r="A46" s="1"/>
      <c r="B46" s="40"/>
      <c r="C46" s="84" t="s">
        <v>19</v>
      </c>
      <c r="D46" s="23">
        <v>1</v>
      </c>
      <c r="E46" s="23">
        <v>4</v>
      </c>
      <c r="F46" s="23" t="str">
        <f>MROUND(Démarrage!N14*0.825,(Démarrage!N21))&amp;"kg"</f>
        <v>0kg</v>
      </c>
      <c r="G46" s="18" t="s">
        <v>24</v>
      </c>
      <c r="H46" s="83"/>
      <c r="I46" s="23" t="str">
        <f>IF(Démarrage!N19&gt;84,1,"1-2")</f>
        <v>1-2</v>
      </c>
      <c r="J46" s="23" t="str">
        <f>IF(Démarrage!N17="Femme","8","6")</f>
        <v>6</v>
      </c>
      <c r="K46" s="47">
        <v>-0.1</v>
      </c>
      <c r="L46" s="20"/>
      <c r="M46" s="21" t="s">
        <v>37</v>
      </c>
      <c r="N46" s="24" t="s">
        <v>39</v>
      </c>
      <c r="O46" s="23">
        <v>2</v>
      </c>
      <c r="P46" s="23" t="str">
        <f>MROUND(Démarrage!N15*0.76,(Démarrage!N21))&amp;"kg"</f>
        <v>0kg</v>
      </c>
      <c r="Q46" s="18" t="s">
        <v>24</v>
      </c>
      <c r="R46" s="84" t="s">
        <v>19</v>
      </c>
      <c r="S46" s="23">
        <v>1</v>
      </c>
      <c r="T46" s="24" t="s">
        <v>79</v>
      </c>
      <c r="U46" s="33" t="str">
        <f>MROUND(Démarrage!N14*0.925,(Démarrage!N21))&amp;"kg"</f>
        <v>0kg</v>
      </c>
      <c r="V46" s="38" t="s">
        <v>24</v>
      </c>
      <c r="W46" s="1"/>
      <c r="X46" s="1"/>
      <c r="Y46" s="1"/>
      <c r="Z46" s="1"/>
      <c r="AA46" s="1"/>
    </row>
    <row r="47" spans="1:27" ht="15.75" x14ac:dyDescent="0.25">
      <c r="A47" s="79" t="s">
        <v>73</v>
      </c>
      <c r="B47" s="40"/>
      <c r="C47" s="84"/>
      <c r="D47" s="23" t="str">
        <f>IF(Démarrage!N17="Femme","4-5","4")</f>
        <v>4</v>
      </c>
      <c r="E47" s="23">
        <v>4</v>
      </c>
      <c r="F47" s="23" t="str">
        <f>MROUND((Démarrage!N14*0.825)*0.9,(Démarrage!N21))&amp;"kg"</f>
        <v>0kg</v>
      </c>
      <c r="G47" s="18" t="s">
        <v>25</v>
      </c>
      <c r="H47" s="16" t="s">
        <v>31</v>
      </c>
      <c r="I47" s="22">
        <v>4</v>
      </c>
      <c r="J47" s="22">
        <v>12</v>
      </c>
      <c r="K47" s="48" t="s">
        <v>30</v>
      </c>
      <c r="L47" s="20"/>
      <c r="M47" s="16" t="s">
        <v>40</v>
      </c>
      <c r="N47" s="22">
        <v>3</v>
      </c>
      <c r="O47" s="22">
        <v>10</v>
      </c>
      <c r="P47" s="48" t="s">
        <v>30</v>
      </c>
      <c r="Q47" s="18" t="s">
        <v>25</v>
      </c>
      <c r="R47" s="84"/>
      <c r="S47" s="23" t="s">
        <v>80</v>
      </c>
      <c r="T47" s="23" t="s">
        <v>78</v>
      </c>
      <c r="U47" s="33" t="s">
        <v>2</v>
      </c>
      <c r="V47" s="38" t="s">
        <v>25</v>
      </c>
      <c r="W47" s="1"/>
      <c r="X47" s="1"/>
      <c r="Y47" s="1"/>
      <c r="Z47" s="1"/>
      <c r="AA47" s="1"/>
    </row>
    <row r="48" spans="1:27" ht="15.75" x14ac:dyDescent="0.25">
      <c r="A48" s="80"/>
      <c r="B48" s="40"/>
      <c r="C48" s="16" t="s">
        <v>20</v>
      </c>
      <c r="D48" s="22">
        <v>1</v>
      </c>
      <c r="E48" s="22">
        <v>4</v>
      </c>
      <c r="F48" s="22" t="str">
        <f>MROUND(Démarrage!N15*0.825,(Démarrage!N21))&amp;"kg"</f>
        <v>0kg</v>
      </c>
      <c r="G48" s="18" t="s">
        <v>26</v>
      </c>
      <c r="H48" s="15" t="s">
        <v>32</v>
      </c>
      <c r="I48" s="23">
        <v>3</v>
      </c>
      <c r="J48" s="24" t="s">
        <v>33</v>
      </c>
      <c r="K48" s="23"/>
      <c r="L48" s="19"/>
      <c r="M48" s="15" t="s">
        <v>41</v>
      </c>
      <c r="N48" s="23">
        <v>4</v>
      </c>
      <c r="O48" s="24" t="s">
        <v>42</v>
      </c>
      <c r="P48" s="23" t="s">
        <v>30</v>
      </c>
      <c r="Q48" s="18" t="s">
        <v>26</v>
      </c>
      <c r="R48" s="81" t="s">
        <v>20</v>
      </c>
      <c r="S48" s="22">
        <v>1</v>
      </c>
      <c r="T48" s="46" t="s">
        <v>79</v>
      </c>
      <c r="U48" s="34" t="str">
        <f>MROUND(Démarrage!N15*0.925,(Démarrage!N21))&amp;"kg"</f>
        <v>0kg</v>
      </c>
      <c r="V48" s="38" t="s">
        <v>26</v>
      </c>
      <c r="W48" s="1"/>
      <c r="X48" s="1"/>
      <c r="Y48" s="1"/>
      <c r="Z48" s="1"/>
      <c r="AA48" s="1"/>
    </row>
    <row r="49" spans="1:27" x14ac:dyDescent="0.25">
      <c r="A49" s="1"/>
      <c r="B49" s="41"/>
      <c r="C49" s="25" t="str">
        <f>Démarrage!W16</f>
        <v>Sumo Pausé</v>
      </c>
      <c r="D49" s="26" t="s">
        <v>39</v>
      </c>
      <c r="E49" s="27">
        <v>2</v>
      </c>
      <c r="F49" s="27" t="s">
        <v>57</v>
      </c>
      <c r="G49" s="28"/>
      <c r="H49" s="29" t="s">
        <v>34</v>
      </c>
      <c r="I49" s="30">
        <v>3</v>
      </c>
      <c r="J49" s="31" t="s">
        <v>33</v>
      </c>
      <c r="K49" s="30"/>
      <c r="L49" s="32"/>
      <c r="M49" s="29" t="s">
        <v>43</v>
      </c>
      <c r="N49" s="30">
        <v>3</v>
      </c>
      <c r="O49" s="31" t="s">
        <v>33</v>
      </c>
      <c r="P49" s="30"/>
      <c r="Q49" s="28"/>
      <c r="R49" s="82"/>
      <c r="S49" s="30" t="s">
        <v>80</v>
      </c>
      <c r="T49" s="30" t="s">
        <v>78</v>
      </c>
      <c r="U49" s="35" t="s">
        <v>2</v>
      </c>
      <c r="V49" s="39"/>
      <c r="W49" s="1"/>
      <c r="X49" s="1"/>
      <c r="Y49" s="1"/>
      <c r="Z49" s="1"/>
      <c r="AA49" s="1"/>
    </row>
    <row r="50" spans="1:2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idden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idden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idden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idden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idden="1" x14ac:dyDescent="0.25">
      <c r="A56" s="1"/>
      <c r="B56" s="1"/>
      <c r="C56" s="1"/>
      <c r="D56" s="1"/>
      <c r="E56" s="1"/>
      <c r="F56" s="1"/>
      <c r="G56" s="1"/>
      <c r="H56" s="49"/>
      <c r="I56" s="49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idden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idden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idden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idden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idden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idden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idden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idden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idden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idden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idden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idden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idden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idden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idden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idden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</sheetData>
  <mergeCells count="60">
    <mergeCell ref="A7:A8"/>
    <mergeCell ref="H2:K2"/>
    <mergeCell ref="H5:H6"/>
    <mergeCell ref="C2:F2"/>
    <mergeCell ref="C4:C5"/>
    <mergeCell ref="C6:C7"/>
    <mergeCell ref="M2:P2"/>
    <mergeCell ref="M4:M5"/>
    <mergeCell ref="R2:U2"/>
    <mergeCell ref="R4:R5"/>
    <mergeCell ref="R6:R7"/>
    <mergeCell ref="C14:C15"/>
    <mergeCell ref="M14:M15"/>
    <mergeCell ref="R14:R15"/>
    <mergeCell ref="H15:H16"/>
    <mergeCell ref="C16:C17"/>
    <mergeCell ref="R16:R17"/>
    <mergeCell ref="R8:R9"/>
    <mergeCell ref="C12:F12"/>
    <mergeCell ref="H12:K12"/>
    <mergeCell ref="M12:P12"/>
    <mergeCell ref="R12:U12"/>
    <mergeCell ref="A17:A18"/>
    <mergeCell ref="R18:R19"/>
    <mergeCell ref="C22:F22"/>
    <mergeCell ref="H22:K22"/>
    <mergeCell ref="M22:P22"/>
    <mergeCell ref="R22:U22"/>
    <mergeCell ref="C24:C25"/>
    <mergeCell ref="M24:M25"/>
    <mergeCell ref="R24:R25"/>
    <mergeCell ref="H25:H26"/>
    <mergeCell ref="C26:C27"/>
    <mergeCell ref="R26:R27"/>
    <mergeCell ref="A27:A28"/>
    <mergeCell ref="R28:R29"/>
    <mergeCell ref="C32:F32"/>
    <mergeCell ref="H32:K32"/>
    <mergeCell ref="M32:P32"/>
    <mergeCell ref="R32:U32"/>
    <mergeCell ref="C34:C35"/>
    <mergeCell ref="M34:M35"/>
    <mergeCell ref="R34:R35"/>
    <mergeCell ref="H35:H36"/>
    <mergeCell ref="C36:C37"/>
    <mergeCell ref="R36:R37"/>
    <mergeCell ref="A37:A38"/>
    <mergeCell ref="R38:R39"/>
    <mergeCell ref="C42:F42"/>
    <mergeCell ref="H42:K42"/>
    <mergeCell ref="M42:P42"/>
    <mergeCell ref="R42:U42"/>
    <mergeCell ref="A47:A48"/>
    <mergeCell ref="R48:R49"/>
    <mergeCell ref="C44:C45"/>
    <mergeCell ref="M44:M45"/>
    <mergeCell ref="R44:R45"/>
    <mergeCell ref="H45:H46"/>
    <mergeCell ref="C46:C47"/>
    <mergeCell ref="R46:R47"/>
  </mergeCells>
  <pageMargins left="0.7" right="0.7" top="0.75" bottom="0.75" header="0.3" footer="0.3"/>
  <ignoredErrors>
    <ignoredError sqref="I5 O8 I15 O18 O28 I25 N6 N26 I35 T9 T29 T39 T19 O38 D49 I45 N46 N36 N16 O48" numberStoredAsText="1"/>
    <ignoredError sqref="J8:J9 O9 J18:J19 O19 O29 J28:J29 J38:J39 O39 J48:J49 O49" twoDigitTextYear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"/>
  <sheetViews>
    <sheetView showGridLines="0" zoomScale="110" zoomScaleNormal="110" workbookViewId="0">
      <selection activeCell="H25" sqref="H25"/>
    </sheetView>
  </sheetViews>
  <sheetFormatPr baseColWidth="10" defaultRowHeight="15" zeroHeight="1" x14ac:dyDescent="0.25"/>
  <cols>
    <col min="1" max="1" width="6.42578125" customWidth="1"/>
    <col min="5" max="5" width="6.42578125" customWidth="1"/>
    <col min="9" max="9" width="10.7109375" customWidth="1"/>
    <col min="10" max="10" width="0.42578125" customWidth="1"/>
    <col min="11" max="11" width="9.28515625" customWidth="1"/>
    <col min="12" max="12" width="7.140625" customWidth="1"/>
    <col min="13" max="14" width="9.28515625" customWidth="1"/>
    <col min="15" max="15" width="0.5703125" customWidth="1"/>
    <col min="16" max="16" width="9.28515625" customWidth="1"/>
    <col min="17" max="17" width="7.140625" customWidth="1"/>
    <col min="18" max="19" width="9.28515625" customWidth="1"/>
    <col min="20" max="20" width="0.5703125" customWidth="1"/>
    <col min="21" max="21" width="9.28515625" customWidth="1"/>
    <col min="22" max="22" width="7.140625" customWidth="1"/>
    <col min="23" max="23" width="9.28515625" customWidth="1"/>
  </cols>
  <sheetData>
    <row r="1" spans="1:3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21" x14ac:dyDescent="0.25">
      <c r="A3" s="1"/>
      <c r="B3" s="1"/>
      <c r="C3" s="1"/>
      <c r="D3" s="1"/>
      <c r="E3" s="1"/>
      <c r="F3" s="1"/>
      <c r="G3" s="51" t="s">
        <v>88</v>
      </c>
      <c r="H3" s="51"/>
      <c r="I3" s="51"/>
      <c r="J3" s="51"/>
      <c r="K3" s="85" t="s">
        <v>1</v>
      </c>
      <c r="L3" s="85"/>
      <c r="M3" s="85"/>
      <c r="N3" s="1"/>
      <c r="O3" s="1"/>
      <c r="P3" s="85" t="s">
        <v>19</v>
      </c>
      <c r="Q3" s="85"/>
      <c r="R3" s="85"/>
      <c r="S3" s="1"/>
      <c r="T3" s="1"/>
      <c r="U3" s="85" t="s">
        <v>82</v>
      </c>
      <c r="V3" s="85"/>
      <c r="W3" s="85"/>
      <c r="X3" s="1"/>
      <c r="Y3" s="1"/>
      <c r="Z3" s="1"/>
      <c r="AA3" s="1"/>
      <c r="AB3" s="1"/>
      <c r="AC3" s="1"/>
      <c r="AD3" s="1"/>
    </row>
    <row r="4" spans="1:30" ht="15.75" thickBot="1" x14ac:dyDescent="0.3">
      <c r="A4" s="1"/>
      <c r="B4" s="1"/>
      <c r="C4" s="1"/>
      <c r="D4" s="1"/>
      <c r="E4" s="1"/>
      <c r="F4" s="1"/>
      <c r="G4" s="1"/>
      <c r="H4" s="1"/>
      <c r="I4" s="1"/>
      <c r="J4" s="59"/>
      <c r="K4" s="68" t="s">
        <v>87</v>
      </c>
      <c r="L4" s="53" t="s">
        <v>86</v>
      </c>
      <c r="M4" s="50" t="s">
        <v>2</v>
      </c>
      <c r="N4" s="1"/>
      <c r="O4" s="59"/>
      <c r="P4" s="68" t="s">
        <v>87</v>
      </c>
      <c r="Q4" s="53" t="s">
        <v>86</v>
      </c>
      <c r="R4" s="50" t="s">
        <v>2</v>
      </c>
      <c r="S4" s="1"/>
      <c r="T4" s="59"/>
      <c r="U4" s="68" t="s">
        <v>87</v>
      </c>
      <c r="V4" s="53" t="s">
        <v>86</v>
      </c>
      <c r="W4" s="50" t="s">
        <v>2</v>
      </c>
      <c r="X4" s="1"/>
      <c r="Y4" s="1"/>
      <c r="Z4" s="1"/>
      <c r="AA4" s="1"/>
      <c r="AB4" s="1"/>
      <c r="AC4" s="1"/>
      <c r="AD4" s="1"/>
    </row>
    <row r="5" spans="1:30" ht="15.75" thickBot="1" x14ac:dyDescent="0.3">
      <c r="A5" s="1"/>
      <c r="B5" s="1"/>
      <c r="C5" s="1"/>
      <c r="D5" s="1"/>
      <c r="E5" s="1"/>
      <c r="F5" s="1"/>
      <c r="G5" s="1"/>
      <c r="H5" s="1"/>
      <c r="I5" s="1"/>
      <c r="J5" s="60"/>
      <c r="K5" s="69">
        <f>MROUND(Démarrage!N13*0.925,(Démarrage!N21))</f>
        <v>0</v>
      </c>
      <c r="L5" s="54">
        <v>0</v>
      </c>
      <c r="M5" s="52">
        <f>MROUND((K5*L5*0.0333)+K5,Démarrage!N21)</f>
        <v>0</v>
      </c>
      <c r="N5" s="1"/>
      <c r="O5" s="60"/>
      <c r="P5" s="69">
        <f>MROUND(Démarrage!N14*0.925,(Démarrage!N21))</f>
        <v>0</v>
      </c>
      <c r="Q5" s="54">
        <v>0</v>
      </c>
      <c r="R5" s="52">
        <f>MROUND((P5*Q5*0.0333)+P5,Démarrage!N21)</f>
        <v>0</v>
      </c>
      <c r="S5" s="1"/>
      <c r="T5" s="60"/>
      <c r="U5" s="69">
        <f>MROUND(Démarrage!N15*0.925,(Démarrage!N21))</f>
        <v>0</v>
      </c>
      <c r="V5" s="54">
        <v>0</v>
      </c>
      <c r="W5" s="52">
        <f>MROUND((U5*V5*0.0333)+U5,Démarrage!N21)</f>
        <v>0</v>
      </c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18.75" x14ac:dyDescent="0.3">
      <c r="A9" s="1"/>
      <c r="B9" s="1"/>
      <c r="C9" s="1"/>
      <c r="D9" s="1"/>
      <c r="E9" s="1"/>
      <c r="F9" s="1"/>
      <c r="G9" s="1"/>
      <c r="H9" s="88" t="s">
        <v>84</v>
      </c>
      <c r="I9" s="88"/>
      <c r="J9" s="58"/>
      <c r="K9" s="2" t="s">
        <v>85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8.75" x14ac:dyDescent="0.3">
      <c r="A12" s="1"/>
      <c r="B12" s="1"/>
      <c r="C12" s="1"/>
      <c r="D12" s="1"/>
      <c r="E12" s="1"/>
      <c r="F12" s="1"/>
      <c r="G12" s="1"/>
      <c r="H12" s="88" t="s">
        <v>89</v>
      </c>
      <c r="I12" s="88"/>
      <c r="J12" s="58"/>
      <c r="K12" s="2" t="s">
        <v>90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2" t="s">
        <v>91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75" x14ac:dyDescent="0.25">
      <c r="A18" s="1"/>
      <c r="B18" s="1"/>
      <c r="C18" s="1"/>
      <c r="D18" s="1"/>
      <c r="E18" s="1"/>
      <c r="F18" s="1"/>
      <c r="G18" s="1"/>
      <c r="H18" s="55" t="s">
        <v>92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5" customHeight="1" x14ac:dyDescent="0.25">
      <c r="A19" s="1"/>
      <c r="B19" s="86"/>
      <c r="C19" s="86"/>
      <c r="D19" s="86"/>
      <c r="E19" s="86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5" customHeight="1" x14ac:dyDescent="0.25">
      <c r="A20" s="1"/>
      <c r="B20" s="86"/>
      <c r="C20" s="86"/>
      <c r="D20" s="86"/>
      <c r="E20" s="86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5" customHeight="1" x14ac:dyDescent="0.25">
      <c r="A21" s="1"/>
      <c r="B21" s="86"/>
      <c r="C21" s="86"/>
      <c r="D21" s="86"/>
      <c r="E21" s="86"/>
      <c r="F21" s="1"/>
      <c r="G21" s="1"/>
      <c r="H21" s="1"/>
      <c r="I21" s="56" t="s">
        <v>93</v>
      </c>
      <c r="J21" s="56"/>
      <c r="K21" s="56"/>
      <c r="L21" s="89" t="s">
        <v>94</v>
      </c>
      <c r="M21" s="89"/>
      <c r="N21" s="89"/>
      <c r="O21" s="89"/>
      <c r="P21" s="89"/>
      <c r="Q21" s="89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15" customHeight="1" x14ac:dyDescent="0.45">
      <c r="A23" s="1"/>
      <c r="B23" s="87"/>
      <c r="C23" s="87"/>
      <c r="D23" s="87"/>
      <c r="E23" s="87"/>
      <c r="F23" s="1"/>
      <c r="G23" s="1"/>
      <c r="H23" s="1"/>
      <c r="I23" s="57" t="s">
        <v>96</v>
      </c>
      <c r="J23" s="57"/>
      <c r="K23" s="57"/>
      <c r="L23" s="57"/>
      <c r="M23" s="90" t="s">
        <v>95</v>
      </c>
      <c r="N23" s="90"/>
      <c r="O23" s="90"/>
      <c r="P23" s="90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70" t="s">
        <v>83</v>
      </c>
      <c r="C25" s="70"/>
      <c r="D25" s="70"/>
      <c r="E25" s="70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70"/>
      <c r="C26" s="70"/>
      <c r="D26" s="70"/>
      <c r="E26" s="70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idden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</sheetData>
  <mergeCells count="10">
    <mergeCell ref="B25:E26"/>
    <mergeCell ref="K3:M3"/>
    <mergeCell ref="P3:R3"/>
    <mergeCell ref="U3:W3"/>
    <mergeCell ref="B19:E21"/>
    <mergeCell ref="B23:E23"/>
    <mergeCell ref="H9:I9"/>
    <mergeCell ref="H12:I12"/>
    <mergeCell ref="L21:Q21"/>
    <mergeCell ref="M23:P23"/>
  </mergeCells>
  <hyperlinks>
    <hyperlink ref="L21" r:id="rId1"/>
    <hyperlink ref="M23:P23" r:id="rId2" display="Atlas_pwr"/>
    <hyperlink ref="B25:E26" r:id="rId3" display="https://www.atlascoaching.net"/>
  </hyperlinks>
  <pageMargins left="0.7" right="0.7" top="0.75" bottom="0.75" header="0.3" footer="0.3"/>
  <pageSetup orientation="portrait" horizontalDpi="300" verticalDpi="30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Démarrage</vt:lpstr>
      <vt:lpstr>Version Tradi</vt:lpstr>
      <vt:lpstr>Version Sumo</vt:lpstr>
      <vt:lpstr>Ensuite...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2019-03-09T13:07:12Z</dcterms:modified>
</cp:coreProperties>
</file>